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19200" windowHeight="10935" firstSheet="1"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ОБРАЗАЦ НБС" sheetId="12" r:id="rId12"/>
    <sheet name="Sheet2" sheetId="13" r:id="rId13"/>
  </sheets>
  <definedNames>
    <definedName name="_xlnm.Print_Area" localSheetId="1">'Биланс стања'!$B$2:$I$68</definedName>
    <definedName name="_xlnm.Print_Area" localSheetId="0">'Биланс успеха'!$B$2:$J$92</definedName>
    <definedName name="_xlnm.Print_Area" localSheetId="10">'Готовина'!$B$1:$K$44</definedName>
    <definedName name="_xlnm.Print_Area" localSheetId="7">'Донације'!$B$2:$H$23</definedName>
    <definedName name="_xlnm.Print_Area" localSheetId="4">'Запослени'!$B$2:$G$30</definedName>
    <definedName name="_xlnm.Print_Area" localSheetId="3">'Зараде '!$B$4:$H$55</definedName>
    <definedName name="_xlnm.Print_Area" localSheetId="2">'Извештај о новчаним токовима'!$B$2:$J$76</definedName>
    <definedName name="_xlnm.Print_Area" localSheetId="9">'Кредити'!$A$1:$T$34</definedName>
    <definedName name="_xlnm.Print_Area" localSheetId="6">'Субвенције'!$A$1:$I$21</definedName>
    <definedName name="_xlnm.Print_Area" localSheetId="5">'Цене'!$B$1:$T$417</definedName>
  </definedNames>
  <calcPr fullCalcOnLoad="1"/>
</workbook>
</file>

<file path=xl/sharedStrings.xml><?xml version="1.0" encoding="utf-8"?>
<sst xmlns="http://schemas.openxmlformats.org/spreadsheetml/2006/main" count="2263" uniqueCount="1501">
  <si>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</si>
  <si>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</si>
  <si>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</si>
  <si>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</si>
  <si>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</si>
  <si>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</si>
  <si>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ОБРАЗАЦ: 5</t>
  </si>
  <si>
    <t>Р. бр.</t>
  </si>
  <si>
    <t>Позиција</t>
  </si>
  <si>
    <t>Образац 1.</t>
  </si>
  <si>
    <t>Образац 2.</t>
  </si>
  <si>
    <t>Образац 5.</t>
  </si>
  <si>
    <t xml:space="preserve">Образац 6. </t>
  </si>
  <si>
    <t>Образац 8.</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</si>
  <si>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</si>
  <si>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</si>
  <si>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</si>
  <si>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</si>
  <si>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</si>
  <si>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</si>
  <si>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</si>
  <si>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</si>
  <si>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</si>
  <si>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</si>
  <si>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</si>
  <si>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</si>
  <si>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</si>
  <si>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</si>
  <si>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</si>
  <si>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</si>
  <si>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</si>
  <si>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</si>
  <si>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</si>
  <si>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</si>
  <si>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</si>
  <si>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</si>
  <si>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</si>
  <si>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</si>
  <si>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</si>
  <si>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</si>
  <si>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</si>
  <si>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</si>
  <si>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</si>
  <si>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</si>
  <si>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</si>
  <si>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</si>
  <si>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</si>
  <si>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</si>
  <si>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</si>
  <si>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</si>
  <si>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</si>
  <si>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</si>
  <si>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</si>
  <si>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</si>
  <si>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</si>
  <si>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 xml:space="preserve">Уговорено </t>
  </si>
  <si>
    <t xml:space="preserve">Повучено </t>
  </si>
  <si>
    <t xml:space="preserve">СУБВЕНЦИЈЕ </t>
  </si>
  <si>
    <t>Реализација</t>
  </si>
  <si>
    <t>Број прималаца</t>
  </si>
  <si>
    <t>СРЕДСТВА ЗА ПОСЕБНЕ НАМЕНЕ</t>
  </si>
  <si>
    <t>Остало</t>
  </si>
  <si>
    <t xml:space="preserve">КРЕДИТНА ЗАДУЖЕНОСТ </t>
  </si>
  <si>
    <t xml:space="preserve">Датум:______________________                                                                                                                                                   </t>
  </si>
  <si>
    <t xml:space="preserve">М.П. </t>
  </si>
  <si>
    <t>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</si>
  <si>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</si>
  <si>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</si>
  <si>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</si>
  <si>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</si>
  <si>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</si>
  <si>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</si>
  <si>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</si>
  <si>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</si>
  <si>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</si>
  <si>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</si>
  <si>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</si>
  <si>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</si>
  <si>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</si>
  <si>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</si>
  <si>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</si>
  <si>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</si>
  <si>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</si>
  <si>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</si>
  <si>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</si>
  <si>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Образац 1А.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</si>
  <si>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</si>
  <si>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</si>
  <si>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</si>
  <si>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</si>
  <si>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</si>
  <si>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</si>
  <si>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</si>
  <si>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</si>
  <si>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</si>
  <si>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</si>
  <si>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</si>
  <si>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</si>
  <si>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</si>
  <si>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</si>
  <si>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</si>
  <si>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</si>
  <si>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</si>
  <si>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</si>
  <si>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</si>
  <si>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</si>
  <si>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</si>
  <si>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Образац 1Б.</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</si>
  <si>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</si>
  <si>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</si>
  <si>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</si>
  <si>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</si>
  <si>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</si>
  <si>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</si>
  <si>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</si>
  <si>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</si>
  <si>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</si>
  <si>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</si>
  <si>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</si>
  <si>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</si>
  <si>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</si>
  <si>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</si>
  <si>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</si>
  <si>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</si>
  <si>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</si>
  <si>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</si>
  <si>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</si>
  <si>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</si>
  <si>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</si>
  <si>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</si>
  <si>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</si>
  <si>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</si>
  <si>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</si>
  <si>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</si>
  <si>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 xml:space="preserve">Индекс 
 период дд.мм.гг/ план текућа година </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</si>
  <si>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</si>
  <si>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</si>
  <si>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</si>
  <si>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</si>
  <si>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</si>
  <si>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</si>
  <si>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</si>
  <si>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</si>
  <si>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</si>
  <si>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</si>
  <si>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</si>
  <si>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</si>
  <si>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</si>
  <si>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</si>
  <si>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</si>
  <si>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</si>
  <si>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</si>
  <si>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</si>
  <si>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</si>
  <si>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</si>
  <si>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</si>
  <si>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</si>
  <si>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</si>
  <si>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</si>
  <si>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</si>
  <si>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</si>
  <si>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</si>
  <si>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</si>
  <si>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</si>
  <si>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</si>
  <si>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</si>
  <si>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</si>
  <si>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</si>
  <si>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</si>
  <si>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</si>
  <si>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</si>
  <si>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</si>
  <si>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</si>
  <si>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</si>
  <si>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</si>
  <si>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</si>
  <si>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</si>
  <si>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</si>
  <si>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</si>
  <si>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</si>
  <si>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</si>
  <si>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</si>
  <si>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</si>
  <si>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</si>
  <si>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</si>
  <si>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</si>
  <si>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</si>
  <si>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</si>
  <si>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</si>
  <si>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</si>
  <si>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</si>
  <si>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</si>
  <si>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</si>
  <si>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</si>
  <si>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</si>
  <si>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</si>
  <si>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</si>
  <si>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</si>
  <si>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</si>
  <si>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</si>
  <si>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</si>
  <si>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</si>
  <si>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</si>
  <si>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</si>
  <si>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</si>
  <si>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</si>
  <si>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</si>
  <si>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</si>
  <si>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</si>
  <si>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</si>
  <si>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</si>
  <si>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</si>
  <si>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</si>
  <si>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</si>
  <si>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</si>
  <si>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</si>
  <si>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</si>
  <si>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</si>
  <si>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</si>
  <si>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</si>
  <si>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</si>
  <si>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</si>
  <si>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</si>
  <si>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</si>
  <si>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</si>
  <si>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</si>
  <si>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</si>
  <si>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</si>
  <si>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</si>
  <si>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</si>
  <si>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</si>
  <si>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</si>
  <si>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</si>
  <si>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</si>
  <si>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</si>
  <si>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</si>
  <si>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</si>
  <si>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</si>
  <si>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</si>
  <si>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</si>
  <si>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</si>
  <si>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</si>
  <si>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</si>
  <si>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</si>
  <si>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И.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</si>
  <si>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</si>
  <si>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</si>
  <si>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</si>
  <si>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</si>
  <si>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</si>
  <si>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</si>
  <si>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</si>
  <si>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</si>
  <si>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</si>
  <si>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</si>
  <si>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</si>
  <si>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</si>
  <si>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</si>
  <si>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</si>
  <si>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</si>
  <si>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</si>
  <si>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</si>
  <si>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</si>
  <si>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</si>
  <si>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</si>
  <si>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</si>
  <si>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</si>
  <si>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</si>
  <si>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</si>
  <si>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</si>
  <si>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</si>
  <si>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</si>
  <si>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</si>
  <si>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</si>
  <si>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</si>
  <si>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t>
  </si>
  <si>
    <t>Т. НЕТО ГУБИТАК (1059 – 1058 + 1060 + 1061 – 1062)</t>
  </si>
  <si>
    <t>I. НЕТО ДОБИТАК КОЈИ ПРИПАДА МАЊИНСКИМ УЛАГАЧИМА</t>
  </si>
  <si>
    <t>II. НЕТО ДОБИТАК КОЈИ ПРИПАДА ВЕЋИНСКОМ ВЛАСНИКУ</t>
  </si>
  <si>
    <t>III. ЗАРАДА ПО АКЦИЈИ</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</si>
  <si>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</si>
  <si>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</si>
  <si>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</si>
  <si>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</si>
  <si>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</si>
  <si>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</si>
  <si>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</si>
  <si>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</si>
  <si>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</si>
  <si>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</si>
  <si>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</si>
  <si>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</si>
  <si>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</si>
  <si>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</si>
  <si>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</si>
  <si>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</si>
  <si>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</si>
  <si>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</si>
  <si>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</si>
  <si>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</si>
  <si>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</si>
  <si>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</si>
  <si>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</si>
  <si>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</si>
  <si>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</si>
  <si>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</si>
  <si>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</si>
  <si>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</si>
  <si>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</si>
  <si>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</si>
  <si>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</si>
  <si>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</si>
  <si>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</si>
  <si>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</si>
  <si>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</si>
  <si>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</si>
  <si>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</si>
  <si>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</si>
  <si>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</si>
  <si>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</si>
  <si>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</si>
  <si>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</si>
  <si>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</si>
  <si>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</si>
  <si>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</si>
  <si>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</si>
  <si>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</si>
  <si>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</si>
  <si>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</si>
  <si>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</si>
  <si>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</si>
  <si>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</si>
  <si>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</si>
  <si>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</si>
  <si>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</si>
  <si>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</si>
  <si>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</si>
  <si>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</si>
  <si>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</si>
  <si>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</si>
  <si>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</si>
  <si>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</si>
  <si>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</si>
  <si>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</si>
  <si>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</si>
  <si>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</si>
  <si>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</si>
  <si>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</si>
  <si>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</si>
  <si>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</si>
  <si>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</si>
  <si>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</si>
  <si>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</si>
  <si>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</si>
  <si>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</si>
  <si>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</si>
  <si>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</si>
  <si>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</si>
  <si>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</si>
  <si>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i deo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</si>
  <si>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</si>
  <si>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</si>
  <si>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</si>
  <si>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</si>
  <si>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</si>
  <si>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</si>
  <si>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</si>
  <si>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</si>
  <si>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</si>
  <si>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</si>
  <si>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</si>
  <si>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</si>
  <si>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</si>
  <si>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</si>
  <si>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</si>
  <si>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</si>
  <si>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</si>
  <si>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</si>
  <si>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</si>
  <si>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</si>
  <si>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</si>
  <si>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</si>
  <si>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</si>
  <si>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</si>
  <si>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</si>
  <si>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</si>
  <si>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</si>
  <si>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</si>
  <si>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</si>
  <si>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</si>
  <si>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</si>
  <si>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</si>
  <si>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</si>
  <si>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</si>
  <si>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</si>
  <si>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</si>
  <si>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</si>
  <si>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</si>
  <si>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</si>
  <si>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</si>
  <si>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</si>
  <si>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</si>
  <si>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</si>
  <si>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</si>
  <si>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</si>
  <si>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</si>
  <si>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</si>
  <si>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</si>
  <si>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</si>
  <si>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</si>
  <si>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</si>
  <si>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</si>
  <si>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</si>
  <si>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</si>
  <si>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</si>
  <si>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</si>
  <si>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</si>
  <si>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</si>
  <si>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</si>
  <si>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</si>
  <si>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</si>
  <si>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</si>
  <si>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</si>
  <si>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</si>
  <si>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</si>
  <si>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</si>
  <si>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</si>
  <si>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</si>
  <si>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</si>
  <si>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</si>
  <si>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</si>
  <si>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</si>
  <si>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</si>
  <si>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</si>
  <si>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</si>
  <si>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</si>
  <si>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</si>
  <si>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</si>
  <si>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</si>
  <si>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</si>
  <si>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</si>
  <si>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</si>
  <si>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</si>
  <si>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</si>
  <si>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</si>
  <si>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</si>
  <si>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</si>
  <si>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</si>
  <si>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</si>
  <si>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</si>
  <si>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</si>
  <si>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</si>
  <si>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</si>
  <si>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</si>
  <si>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</si>
  <si>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</si>
  <si>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</si>
  <si>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</si>
  <si>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</si>
  <si>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</si>
  <si>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</si>
  <si>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</si>
  <si>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</si>
  <si>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</si>
  <si>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</si>
  <si>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</si>
  <si>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</si>
  <si>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</si>
  <si>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</si>
  <si>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</si>
  <si>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</si>
  <si>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</si>
  <si>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</si>
  <si>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</si>
  <si>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</si>
  <si>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</si>
  <si>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</si>
  <si>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</si>
  <si>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</si>
  <si>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</si>
  <si>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</si>
  <si>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</si>
  <si>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</si>
  <si>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</si>
  <si>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</si>
  <si>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</si>
  <si>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</si>
  <si>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</si>
  <si>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</si>
  <si>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</si>
  <si>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</si>
  <si>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</si>
  <si>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</si>
  <si>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</si>
  <si>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</si>
  <si>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</si>
  <si>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</si>
  <si>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</si>
  <si>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</si>
  <si>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</si>
  <si>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</si>
  <si>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</si>
  <si>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</si>
  <si>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</si>
  <si>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</si>
  <si>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</si>
  <si>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</si>
  <si>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</si>
  <si>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</si>
  <si>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</si>
  <si>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</si>
  <si>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</si>
  <si>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</si>
  <si>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</si>
  <si>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</si>
  <si>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</si>
  <si>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</si>
  <si>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</si>
  <si>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</si>
  <si>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</si>
  <si>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</si>
  <si>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</si>
  <si>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</si>
  <si>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</si>
  <si>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</si>
  <si>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</si>
  <si>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</si>
  <si>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</si>
  <si>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</si>
  <si>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</si>
  <si>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</si>
  <si>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</si>
  <si>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</si>
  <si>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</si>
  <si>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</si>
  <si>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</si>
  <si>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</si>
  <si>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</si>
  <si>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</si>
  <si>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</si>
  <si>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</si>
  <si>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</si>
  <si>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</si>
  <si>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</si>
  <si>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</si>
  <si>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</si>
  <si>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</si>
  <si>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</si>
  <si>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</si>
  <si>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</si>
  <si>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</si>
  <si>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</si>
  <si>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</si>
  <si>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</si>
  <si>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</si>
  <si>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</si>
  <si>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</si>
  <si>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</si>
  <si>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</si>
  <si>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</si>
  <si>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</si>
  <si>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</si>
  <si>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</si>
  <si>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</si>
  <si>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</si>
  <si>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</si>
  <si>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</si>
  <si>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</si>
  <si>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</si>
  <si>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</si>
  <si>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</si>
  <si>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</si>
  <si>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</si>
  <si>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</si>
  <si>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</si>
  <si>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</si>
  <si>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</si>
  <si>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</si>
  <si>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</si>
  <si>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</si>
  <si>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</si>
  <si>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</si>
  <si>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</si>
  <si>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</si>
  <si>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</si>
  <si>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</si>
  <si>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</si>
  <si>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</si>
  <si>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</si>
  <si>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</si>
  <si>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</si>
  <si>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</si>
  <si>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</si>
  <si>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</si>
  <si>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</si>
  <si>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</si>
  <si>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</si>
  <si>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</si>
  <si>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</si>
  <si>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</si>
  <si>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</si>
  <si>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</si>
  <si>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</si>
  <si>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</si>
  <si>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</si>
  <si>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</si>
  <si>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</si>
  <si>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</si>
  <si>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З. ГОТОВИНА НА ПОЧЕТКУ ОБРАЧУНСКОГ ПЕРИОДА</t>
  </si>
  <si>
    <t>Ж. ПОЗИТИВНЕ КУРСНЕ РАЗЛИКЕ ПО ОСНОВУ ПРЕРАЧУНА ГОТОВИНЕ</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</si>
  <si>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</si>
  <si>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</si>
  <si>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</si>
  <si>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</si>
  <si>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Израда прилаза - трепни</t>
  </si>
  <si>
    <t>Израда привремене ограде</t>
  </si>
  <si>
    <t>Израда левка за спуштање материјала</t>
  </si>
  <si>
    <t>Израда кочића до 50 cm</t>
  </si>
  <si>
    <t>Израда кочића до 100 cm</t>
  </si>
  <si>
    <t>Набавка, транспорт и уградња геотекстила тип 250g</t>
  </si>
  <si>
    <t>Набавка, транспорт и уградња геотекстила тип 300g</t>
  </si>
  <si>
    <t>Набавка, транспорт и уградња геотекстила тип 500g</t>
  </si>
  <si>
    <t>Набавка, транспорт и уградња геотекстила тип 1000g</t>
  </si>
  <si>
    <t>Саобраћајно обезбеђење у току извођења радова</t>
  </si>
  <si>
    <t>Прибављање извода из листе непокретности у електронском облику</t>
  </si>
  <si>
    <t>Геодетско обележавање трасе</t>
  </si>
  <si>
    <t>Израда елабората</t>
  </si>
  <si>
    <t>Ручни ископ земље II категорије са одбацивањем на обе стране природно влажна без жила и корења</t>
  </si>
  <si>
    <t>Ручни ископ земље II категорије са одбацивањем на обе стране мокра без жила и корења</t>
  </si>
  <si>
    <t>Ручни ископ земље II категорије са одбацивањем на обе стране житка без жила и корења</t>
  </si>
  <si>
    <t>Ручни ископ земље III категорије са одбацивањем на обе стране природно влажна без жила и корења</t>
  </si>
  <si>
    <t>Ручни ископ земље III категорије са одбацивањем на обе стране мокра без жила и корења</t>
  </si>
  <si>
    <t>Ручни ископ земље III категорије са одбацивањем на обе стране житка без жила и корења</t>
  </si>
  <si>
    <t>Ручно насипање земље III категорије до 30 cm</t>
  </si>
  <si>
    <t>Ручно планирање земљаних површина земље III категорије равне површине</t>
  </si>
  <si>
    <t>Ручно планирање земљаних површина земље III категорије косе површине</t>
  </si>
  <si>
    <t>Ручно разастирање природног шљунка за тампон d = 10 cm косе површине</t>
  </si>
  <si>
    <t>Крчење шибља булдозером са гурањем на даљину 20 m</t>
  </si>
  <si>
    <t xml:space="preserve">Машински ископ хумуса булдозером </t>
  </si>
  <si>
    <t>Машински откоп песка  булдозером  са гурањем 10 m</t>
  </si>
  <si>
    <t>Машински откоп шљунка  булдозером  са гурањем 10 m</t>
  </si>
  <si>
    <t>Машински ископ земље III категорије  булдозером</t>
  </si>
  <si>
    <t>Машинско разастирање ископа земље III категорије  булдозером  у слојевима до 30 cm</t>
  </si>
  <si>
    <t>Машинско разастирање ископа земље III категорије  булдозером  у слојевима до 30 cm и дотеривање шкарпе према профилу</t>
  </si>
  <si>
    <t xml:space="preserve">Машинско разастирање ископа земље V категорије  булдозером  у слојевима до 30 cm </t>
  </si>
  <si>
    <t>Машинско разастирање хумуса  булдозером  у слојевима до 30 cm, гурањем</t>
  </si>
  <si>
    <t>Машинско разастирање хумуса  булдозером  у слојевима до 30 cm, гурањем са дотеривањем шкарпе према профилу</t>
  </si>
  <si>
    <t>Ископ канала у земљи III категорије багером природно влажна земља</t>
  </si>
  <si>
    <t>Ископ канала у земљи III категорије багером мокра земља</t>
  </si>
  <si>
    <t>Ископ канала у земљи III категорије багером сајлашем мокра земља</t>
  </si>
  <si>
    <t>Ископ канала у земљи III категорије багером природно влажна земља профилном кашиком</t>
  </si>
  <si>
    <t>Ископ канала у земљи III категорије багером мокра профилном кашиком</t>
  </si>
  <si>
    <t>Вађење пањева багером Ø 15 - 25 cm</t>
  </si>
  <si>
    <t>Вађење пањева багером Ø 25 - 50 cm</t>
  </si>
  <si>
    <t>Вађење пањева багером  &gt; 50 cm</t>
  </si>
  <si>
    <t>Утовар песка утоваривачем у возило, природно влажан материјал</t>
  </si>
  <si>
    <t>Уградња песка рефулисањем</t>
  </si>
  <si>
    <t>Утовар шљунка утоваривачем у возило, природно влажан материјал</t>
  </si>
  <si>
    <t>Утовар земље III категорије са утоваривачем у возило</t>
  </si>
  <si>
    <t>Сабијање насипа вибројежевима</t>
  </si>
  <si>
    <t>Сабијање насипа вибрационим ваљком</t>
  </si>
  <si>
    <t>Сабијање насипа виброплочом</t>
  </si>
  <si>
    <t>Ископ рупа за садњу садница</t>
  </si>
  <si>
    <t>Бушење рупа тракторском бушилицом</t>
  </si>
  <si>
    <t>Ручно хумузирање површина - равна површина</t>
  </si>
  <si>
    <t>Ручно хумузирање површина - коса површина</t>
  </si>
  <si>
    <t>Набавка и уградња песка</t>
  </si>
  <si>
    <t>Набавка и уградња шљунка</t>
  </si>
  <si>
    <t>Разупирање рова од 0 - 4 m дубине</t>
  </si>
  <si>
    <t>Израда једностране оплате од здраве чамове грађе</t>
  </si>
  <si>
    <t>Израда двостране оплате од здраве чамове грађе</t>
  </si>
  <si>
    <t>Уградња арматуре једноставне и средње сложености Ø 6 -12</t>
  </si>
  <si>
    <t>Монтажа електроварене мрежасте арматуре</t>
  </si>
  <si>
    <t>Бетонирање неармираних тампона MB 15, d = 10 cm</t>
  </si>
  <si>
    <t>Бетонирање неармираних тампона MB 20, d = 10 cm</t>
  </si>
  <si>
    <t>Набавка, транспорт и уградња Дунав блокова дим. 20х25х40 cm</t>
  </si>
  <si>
    <t>Зидање зидова од бетонских блокова 12х20х40 cm у цементном малтеру</t>
  </si>
  <si>
    <t>Зидање зидова од бетонских блокова 20х20х40 cm у цементном малтеру</t>
  </si>
  <si>
    <t>Зидање зидова од бетонских блокова 25х25х40 cm у цементном малтеру</t>
  </si>
  <si>
    <t>Набавка, транспорт и уградња PVC цеви 160х1000</t>
  </si>
  <si>
    <t>Набавка, транспорт и уградња PVC цеви 200х1000</t>
  </si>
  <si>
    <t>Полагање ивичњака на подлогу од бетона са фуговањем 18/24/40 cm</t>
  </si>
  <si>
    <t>Полагање ивичњака на подлогу од бетона са фуговањем 20/24/40 cm</t>
  </si>
  <si>
    <t>Полагање ивичњака на подлогу од бетона са фуговањем 20/24/80 cm</t>
  </si>
  <si>
    <t>Полагање ивичњака на подлогу од бетона са фуговањем 12/18/40 cm</t>
  </si>
  <si>
    <t>Полагање ивичњака на подлогу од бетона са фуговањем 12/18/80 cm</t>
  </si>
  <si>
    <t>Набавка, транспорт и уградња "жабљег" поклопца Ø 600</t>
  </si>
  <si>
    <t>Набавка, транспорт и уградња "жабљег" поклопца Ø 800</t>
  </si>
  <si>
    <t>Набавка, транспорт и уградња "жабљег" поклопца Ø 1000</t>
  </si>
  <si>
    <t>Набавка, транспорт и уградња поклопца шахта носивости 5t</t>
  </si>
  <si>
    <t>Набавка, транспорт и уградња поклопца шахта носивости 10t</t>
  </si>
  <si>
    <t>Набавка, транспорт и уградња поклопца шахта носивости 15t</t>
  </si>
  <si>
    <t>Набавка, транспорт и уградња најлон фолије 4m/6m/8m</t>
  </si>
  <si>
    <t>Набавка, транспорт и уградња (полиетилен) окитен црева 3/4''</t>
  </si>
  <si>
    <t>Набавка, транспорт и уградња (полиетилен) окитен црева 1''</t>
  </si>
  <si>
    <t>Набавка, транспорт и уградња (полиетилен) окитен црева 5/4''</t>
  </si>
  <si>
    <t>Набавка, транспорт и уградња (полиетилен) окитен црева 6/4''</t>
  </si>
  <si>
    <t>Набавка, транспорт и уградња (полиетилен) окитен црева 2''</t>
  </si>
  <si>
    <t>Ручно кошење густо обрасле траве</t>
  </si>
  <si>
    <t>Ручно сечење шибља до 3 cm дебљине</t>
  </si>
  <si>
    <t>Ручно сечење шибља од 3 cm до 5 cm дебљине</t>
  </si>
  <si>
    <t>Ручно крчење израслина</t>
  </si>
  <si>
    <t>Машинско кошење траве тракторском косачицом</t>
  </si>
  <si>
    <t>Засејавање травом</t>
  </si>
  <si>
    <t>Засејавање травом - коса површина</t>
  </si>
  <si>
    <t>Сечење дрвећа моторном тестером без кресања грана - тврдо дрво Ø 10 - 20 cm</t>
  </si>
  <si>
    <t>Сечење дрвећа моторном тестером без кресања грана - тврдо дрво Ø 20 - 30 cm</t>
  </si>
  <si>
    <t>Сечење дрвећа моторном тестером без кресања грана - тврдо дрво Ø 30 - 50 cm</t>
  </si>
  <si>
    <t>Сечење дрвећа моторном тестером без кресања грана - тврдо дрво &gt; Ø 50 cm</t>
  </si>
  <si>
    <t>Ручно вађење пањева до Ø 15 cm</t>
  </si>
  <si>
    <t>Ручно вађење пањева Ø 15 - Ø 25 cm</t>
  </si>
  <si>
    <t>Ручно вађење пањева Ø 25 - Ø 50 cm</t>
  </si>
  <si>
    <t>Ручно вађење пањева &gt; Ø 50 cm</t>
  </si>
  <si>
    <t>Ручно крчење корења шибља</t>
  </si>
  <si>
    <t>Ручно крчење корења багремца</t>
  </si>
  <si>
    <t>Чишћење облоге од растиња</t>
  </si>
  <si>
    <t>Прање уређеног корита шмрковима</t>
  </si>
  <si>
    <t>Израда, транспорт и уградња габиона дим. 2,0 x 1,0 x 0,50 m</t>
  </si>
  <si>
    <t>Израда, транспорт и уградња габионских мадраца дим. 0,3 x 1,0 x 2,0 m</t>
  </si>
  <si>
    <t>Облагање косина канала ломљеним каменом и заливање малтером</t>
  </si>
  <si>
    <t>Израда облоге од ломљеног камена са заливањем спојница цементним малтером</t>
  </si>
  <si>
    <t>Дерсовање камене облоге цементним малтером</t>
  </si>
  <si>
    <t>Уградња камене ризле</t>
  </si>
  <si>
    <t>Израда туцаничког застора  d = 10 cm</t>
  </si>
  <si>
    <t>Уградња ломљеног камена ролирањем</t>
  </si>
  <si>
    <t>Превоз ископаног материјала ручним колицима I и II кат. природно влажна</t>
  </si>
  <si>
    <t xml:space="preserve">Превоз ископаног материјала ручним колицима III и IV кат. </t>
  </si>
  <si>
    <t>Превоз шљунка и песка природно влажан</t>
  </si>
  <si>
    <t>Превоз малтера - кречни и продужни</t>
  </si>
  <si>
    <t>Превоз бетона</t>
  </si>
  <si>
    <t>Превоз обрађеног камена</t>
  </si>
  <si>
    <t>Превоз ломљеног камена</t>
  </si>
  <si>
    <t>Превоз шута</t>
  </si>
  <si>
    <t>Утовар и истовар ископа II категорије, природно влажан материјал</t>
  </si>
  <si>
    <t>Утовар и истовар ископа III категорије, природно влажан материјал</t>
  </si>
  <si>
    <t>Утовар и истовар ископа ломљеног камена d = 15 - 30 cm</t>
  </si>
  <si>
    <t xml:space="preserve">Утовар и истовар песка </t>
  </si>
  <si>
    <t>Утовар и истовар шљунка</t>
  </si>
  <si>
    <t>Утовар и истовар резане грађе</t>
  </si>
  <si>
    <t>Утовар бетонског гвожђа у шипкама</t>
  </si>
  <si>
    <t>Рад булдозера "KOMATSU" D41 E</t>
  </si>
  <si>
    <t>Рад булдозера "KOMATSU" D61 E</t>
  </si>
  <si>
    <t>Рад булдозера "TG" 75</t>
  </si>
  <si>
    <t>Рад булдозера "TG" 120</t>
  </si>
  <si>
    <t>Рад багера "KOMATSU" PC 210LC</t>
  </si>
  <si>
    <t>Рад багера "KOMATSU" PW 140 (точкаш)</t>
  </si>
  <si>
    <t>Рад багера "BGH" 1000</t>
  </si>
  <si>
    <t>Рад багера "BGH" 610 D сајлаш</t>
  </si>
  <si>
    <t>Рад компресора</t>
  </si>
  <si>
    <t>Рад ауто дизалице 32t</t>
  </si>
  <si>
    <t>Рад ауто дизалице 28t</t>
  </si>
  <si>
    <t>Рад ауто дизалице 16t</t>
  </si>
  <si>
    <t>Рад ауто дизалице 8t</t>
  </si>
  <si>
    <t>Рад камиона кипера</t>
  </si>
  <si>
    <t>Рад камиона до 3t  доставни</t>
  </si>
  <si>
    <t>Теренско возило</t>
  </si>
  <si>
    <t>Рад трактора са прикључком (већи)</t>
  </si>
  <si>
    <t>Рад трактора са прикључком (мањи)</t>
  </si>
  <si>
    <t>Рад трактора са приколицом (већи)</t>
  </si>
  <si>
    <t>Рад утоваривача "ULT"</t>
  </si>
  <si>
    <t>Рад утоваривача "Bobcat" S 175HF</t>
  </si>
  <si>
    <t>Рад комбинирке</t>
  </si>
  <si>
    <t>Рад вучног воза на превозу грађевинских машина</t>
  </si>
  <si>
    <t>Рад вишенаменског амфибијског возила</t>
  </si>
  <si>
    <t>Ангажовање чамца без мотора у току извођења радова</t>
  </si>
  <si>
    <t>Рад пловне дизалице носивости 100 t за вађење потопљених пловних објеката</t>
  </si>
  <si>
    <t>Рад специјализоване машине "паук"</t>
  </si>
  <si>
    <t>Рад аутоцистерне</t>
  </si>
  <si>
    <t>Рад аутоцистерне на прању облога</t>
  </si>
  <si>
    <t>Рад цистерне високог притиска "Woma" на одгушењу</t>
  </si>
  <si>
    <t>Рад цистерне за одвоз комуналног отпада</t>
  </si>
  <si>
    <t>Долазак цистерни на место извршења</t>
  </si>
  <si>
    <t>Рад бетонске пумпе преко 20 m³</t>
  </si>
  <si>
    <t>Сат чекања миксера за бетон</t>
  </si>
  <si>
    <t>Пумпа AGRO - 10</t>
  </si>
  <si>
    <t>Тракторска пумпа "Б.Моноштор"</t>
  </si>
  <si>
    <t>"CADOPPI" CS - M250A</t>
  </si>
  <si>
    <t>Пумпа HONDA VB30</t>
  </si>
  <si>
    <t>Рад вибро-ваљка</t>
  </si>
  <si>
    <t>Рад вибро-јежа</t>
  </si>
  <si>
    <t>Рад вибро-плоче</t>
  </si>
  <si>
    <t>Первибратор за бетон</t>
  </si>
  <si>
    <t>Бушилица за разбијање бетон - Торна</t>
  </si>
  <si>
    <t>Превоз расутог материјала камионом до 1 km</t>
  </si>
  <si>
    <t>Превоз расутог материјала камионом до 2 km</t>
  </si>
  <si>
    <t>Превоз расутог материјала камионом до 3 km</t>
  </si>
  <si>
    <t>Превоз расутог материјала камионом до 4 km</t>
  </si>
  <si>
    <t xml:space="preserve">Превоз расутог материјала камионом до 5 km </t>
  </si>
  <si>
    <t xml:space="preserve">Превоз расутог материјала камионом до 10 km </t>
  </si>
  <si>
    <t>Превоз расутог материјала камионом до 15 km</t>
  </si>
  <si>
    <t>Превоз расутог материјала камионом до 20 km</t>
  </si>
  <si>
    <t>Превоз расутог материјала камионом до 25 km</t>
  </si>
  <si>
    <t>Превоз расутог материјала камионом до 30 km</t>
  </si>
  <si>
    <t>Довоз и одвоз опреме и механизације и издавање потребних дозвола</t>
  </si>
  <si>
    <t>Превоз бетона до 10 km</t>
  </si>
  <si>
    <t>Превоз бетона до 20 km</t>
  </si>
  <si>
    <t>Превоз бетона до 40 km</t>
  </si>
  <si>
    <t>Превоз бетона до 70 km</t>
  </si>
  <si>
    <t>Услуга рада рониоца</t>
  </si>
  <si>
    <r>
      <t>Објекат до 100 m</t>
    </r>
    <r>
      <rPr>
        <sz val="12"/>
        <rFont val="Times New Roman"/>
        <family val="1"/>
      </rPr>
      <t>²</t>
    </r>
  </si>
  <si>
    <r>
      <t>Објекат од 200 m</t>
    </r>
    <r>
      <rPr>
        <sz val="12"/>
        <rFont val="Times New Roman"/>
        <family val="1"/>
      </rPr>
      <t>²</t>
    </r>
  </si>
  <si>
    <r>
      <t>Објекат од 300 m</t>
    </r>
    <r>
      <rPr>
        <sz val="12"/>
        <rFont val="Times New Roman"/>
        <family val="1"/>
      </rPr>
      <t>² до 600 m²</t>
    </r>
  </si>
  <si>
    <t>Објекат преко 600 m²</t>
  </si>
  <si>
    <t>Излазак на терен и припрема локације за рад</t>
  </si>
  <si>
    <t>Рад НК радника</t>
  </si>
  <si>
    <t>Рад ВК радника</t>
  </si>
  <si>
    <t>Рад инжењера експерта (ВСС)</t>
  </si>
  <si>
    <t>Рад вође групе (ВСС)</t>
  </si>
  <si>
    <t>Коришћење специјализованог возила са комплетном еколошком опремом (вакум пумпа, ВП пумпа, канал - јет систем за пробијање запушених канализација, коморе за смештај)</t>
  </si>
  <si>
    <t>Коришћење доставног возила</t>
  </si>
  <si>
    <t>Коришћење ауто-подизача</t>
  </si>
  <si>
    <t>Коришћење упијајуће плахте</t>
  </si>
  <si>
    <t>Коришћење заштитне пливајуће бране</t>
  </si>
  <si>
    <t>Коришћење упијајуће "Sorbix" бране за упијање масноћа и нафте</t>
  </si>
  <si>
    <t>Средство за упијање масноће</t>
  </si>
  <si>
    <t>Коришћење чамца</t>
  </si>
  <si>
    <t>Грубо чишћење</t>
  </si>
  <si>
    <t>Одмашћивање</t>
  </si>
  <si>
    <t>Испирање</t>
  </si>
  <si>
    <t>Дисперзант</t>
  </si>
  <si>
    <t>Закуп скеле</t>
  </si>
  <si>
    <t>Најам малог гуменог чамца 15 KS</t>
  </si>
  <si>
    <t>Најам чамца гума пластика 50 KS</t>
  </si>
  <si>
    <t>Најам чамца гума пластика 140 KS</t>
  </si>
  <si>
    <t>Најам металног чамца</t>
  </si>
  <si>
    <t>Управљач чамца</t>
  </si>
  <si>
    <t>Најам брода до 750 kW</t>
  </si>
  <si>
    <t>Најам брода до 750 kW са дежурством</t>
  </si>
  <si>
    <t>Најам брода преко 750 kW</t>
  </si>
  <si>
    <t>Рад ледоломца или брода који ломи лед до 750 kW са посадом и дежурством или радом
 24 часа</t>
  </si>
  <si>
    <t>Најам самоходног теретњака до 1000 t</t>
  </si>
  <si>
    <t>Најам реморкера до 150 KS</t>
  </si>
  <si>
    <t>Рад камиона са дизалицом (утовар трупаца и посеченог материала са превозом и истоваром слагањем)</t>
  </si>
  <si>
    <t>Машинско бушење рупа за садњу садница (плитка садња)</t>
  </si>
  <si>
    <t>Машинско бушење рупа за садњу садница (дубока садња)</t>
  </si>
  <si>
    <t>Рад витла (чекрка) за привлачење стабала</t>
  </si>
  <si>
    <t>Референт ВСС у служби накнада</t>
  </si>
  <si>
    <t>Референт ССС у служби накнада</t>
  </si>
  <si>
    <t>Руководилац објекта</t>
  </si>
  <si>
    <t>Дипломирани грађевински инжењер</t>
  </si>
  <si>
    <t>Дипломирани геодетски инжењер</t>
  </si>
  <si>
    <t>Геодетски техничар</t>
  </si>
  <si>
    <t>Техничар објекта</t>
  </si>
  <si>
    <t>Руковаоц црпне станице (ССС)</t>
  </si>
  <si>
    <t>Радник металске струке (ССС)</t>
  </si>
  <si>
    <t>Радник електро струке (ССС)</t>
  </si>
  <si>
    <t>Возач (ССС)</t>
  </si>
  <si>
    <t>Радник (КВ) на одржавању водних објекта</t>
  </si>
  <si>
    <t>m3</t>
  </si>
  <si>
    <t>prm</t>
  </si>
  <si>
    <t>L &gt; 30 cm</t>
  </si>
  <si>
    <t>I kl.&gt;25 cm</t>
  </si>
  <si>
    <t>II kl. &gt;20 cm</t>
  </si>
  <si>
    <t>F 35-39 cm</t>
  </si>
  <si>
    <t>F 40-49 cm</t>
  </si>
  <si>
    <t>F &gt;50 cm</t>
  </si>
  <si>
    <t>K &gt;30 cm</t>
  </si>
  <si>
    <t>I kl.&gt;30 cm</t>
  </si>
  <si>
    <t>II kl.&gt;25 cm</t>
  </si>
  <si>
    <t>F &gt;35 cm</t>
  </si>
  <si>
    <t>TL  9-15 cm</t>
  </si>
  <si>
    <t>Tl 16-25 cm</t>
  </si>
  <si>
    <t>Матични број: 07029110</t>
  </si>
  <si>
    <t>Банка Интеза а.д.</t>
  </si>
  <si>
    <t>наменски кредит за набав. о.с.</t>
  </si>
  <si>
    <t>евро</t>
  </si>
  <si>
    <t>6 година</t>
  </si>
  <si>
    <t>1 година</t>
  </si>
  <si>
    <t>12.09.2011.</t>
  </si>
  <si>
    <t>Предузеће:ЈАВНО ВОДОРПИВРЕДНО ПРЕДУЗЕЋЕ "БЕОГРАДВОДЕ"</t>
  </si>
  <si>
    <t>текући рачун</t>
  </si>
  <si>
    <t>Управа за трезор</t>
  </si>
  <si>
    <t>Банка Интеза</t>
  </si>
  <si>
    <t>текући рачун за боловање</t>
  </si>
  <si>
    <t>2.Финансијски приходи од осталих повезаних лица</t>
  </si>
  <si>
    <t>009</t>
  </si>
  <si>
    <r>
      <t xml:space="preserve">Ј. ГОТОВИНА НА КРАЈУ ОБРАЧУНСКОГ ПЕРИОДА </t>
    </r>
    <r>
      <rPr>
        <sz val="12"/>
        <color indexed="8"/>
        <rFont val="Times New Roman"/>
        <family val="1"/>
      </rPr>
      <t>(3042 – 3043 + 3044 + 3045 – 3046)</t>
    </r>
  </si>
  <si>
    <t>Датум:</t>
  </si>
  <si>
    <t>Oвлашћено лицe:</t>
  </si>
  <si>
    <t>НЕНАД ЂИНЂИЋ, дипл.инж.</t>
  </si>
  <si>
    <t>Отпремнина за одлазак у пензију и технолошки вишак</t>
  </si>
  <si>
    <t>Плански курс: 121,6269</t>
  </si>
  <si>
    <t>Рeдни
брoj</t>
  </si>
  <si>
    <t>Ознака норме</t>
  </si>
  <si>
    <t>Број
анализе</t>
  </si>
  <si>
    <t>Опис позиције</t>
  </si>
  <si>
    <t>Јединица
мере</t>
  </si>
  <si>
    <t>Цена материјала у дин.
(без ПДВ-а)</t>
  </si>
  <si>
    <t>Цена транспорта у дин.
(без ПДВ-а)</t>
  </si>
  <si>
    <t>Цена рада у дин.
(без ПДВ-а)</t>
  </si>
  <si>
    <t>Јединична
цена у дин.
(без ПДВ-а)</t>
  </si>
  <si>
    <t>Јединична
цена у дин.
(са ПДВ-ом)</t>
  </si>
  <si>
    <t>А .</t>
  </si>
  <si>
    <t>Припремни радови</t>
  </si>
  <si>
    <t xml:space="preserve"> 1 .</t>
  </si>
  <si>
    <t>GN 100.107.1</t>
  </si>
  <si>
    <t>1.GPR.1</t>
  </si>
  <si>
    <r>
      <t>по m</t>
    </r>
    <r>
      <rPr>
        <sz val="12"/>
        <rFont val="Times New Roman"/>
        <family val="1"/>
      </rPr>
      <t>²</t>
    </r>
  </si>
  <si>
    <t xml:space="preserve"> 2 .</t>
  </si>
  <si>
    <t>GN 100.107.2</t>
  </si>
  <si>
    <t>1.GPR.2</t>
  </si>
  <si>
    <t>по m'</t>
  </si>
  <si>
    <t xml:space="preserve"> 3 .</t>
  </si>
  <si>
    <t>GN 100.108.1</t>
  </si>
  <si>
    <t>1.GPR.3</t>
  </si>
  <si>
    <t xml:space="preserve"> 4 .</t>
  </si>
  <si>
    <t>GN 100.109.1</t>
  </si>
  <si>
    <t>1.GPR.4</t>
  </si>
  <si>
    <t>по ком.</t>
  </si>
  <si>
    <t xml:space="preserve"> 5 .</t>
  </si>
  <si>
    <t>GN 100.109.3</t>
  </si>
  <si>
    <t>1.GPR.5</t>
  </si>
  <si>
    <t xml:space="preserve"> 6 .</t>
  </si>
  <si>
    <t>GN 361-101.1.1</t>
  </si>
  <si>
    <t xml:space="preserve"> 7 .</t>
  </si>
  <si>
    <t>GN 361-101.1.2</t>
  </si>
  <si>
    <t xml:space="preserve"> 8 .</t>
  </si>
  <si>
    <t>GN 361-101.1.3</t>
  </si>
  <si>
    <t xml:space="preserve"> 9 .</t>
  </si>
  <si>
    <t>GN 361-101.1.4</t>
  </si>
  <si>
    <t xml:space="preserve"> 10 .</t>
  </si>
  <si>
    <t xml:space="preserve"> 11 .</t>
  </si>
  <si>
    <t>по парцели</t>
  </si>
  <si>
    <t xml:space="preserve"> 12 .</t>
  </si>
  <si>
    <t xml:space="preserve"> 13 .</t>
  </si>
  <si>
    <t>1.GPR.6</t>
  </si>
  <si>
    <t>В .</t>
  </si>
  <si>
    <t>Земљани радови</t>
  </si>
  <si>
    <t>GN 200.109.2' A1</t>
  </si>
  <si>
    <t>2GZEM.1</t>
  </si>
  <si>
    <r>
      <t>по m</t>
    </r>
    <r>
      <rPr>
        <sz val="12"/>
        <rFont val="Times New Roman"/>
        <family val="1"/>
      </rPr>
      <t>³</t>
    </r>
  </si>
  <si>
    <t>GN 200.109.2' A2</t>
  </si>
  <si>
    <t>2GZEM.2</t>
  </si>
  <si>
    <t>GN 200.109.2' A3</t>
  </si>
  <si>
    <t>2GZEM.3</t>
  </si>
  <si>
    <t>GN 200.109.3' A1</t>
  </si>
  <si>
    <t>2GZEM.4</t>
  </si>
  <si>
    <t>GN 200.109.3' A2</t>
  </si>
  <si>
    <t>2GZEM.5</t>
  </si>
  <si>
    <t>GN 200.109.3' A3</t>
  </si>
  <si>
    <t>2GZEM.6</t>
  </si>
  <si>
    <t>GN 200.201.1</t>
  </si>
  <si>
    <t>2GZEM.7</t>
  </si>
  <si>
    <t>GN 200.202.1A3</t>
  </si>
  <si>
    <t>2GZEM.8</t>
  </si>
  <si>
    <t>GN 200-202.1B3</t>
  </si>
  <si>
    <t>2GZEM.9</t>
  </si>
  <si>
    <t>GN 200.203.1</t>
  </si>
  <si>
    <t>2GZEM.10</t>
  </si>
  <si>
    <t>GN 200.301.1</t>
  </si>
  <si>
    <t>2GZEM.11</t>
  </si>
  <si>
    <t>GN 200.302.1</t>
  </si>
  <si>
    <t>2GZEM.12</t>
  </si>
  <si>
    <t>GN 200.303.1</t>
  </si>
  <si>
    <t>2GZEM.13</t>
  </si>
  <si>
    <t xml:space="preserve"> 14 .</t>
  </si>
  <si>
    <t>GN 200.303.2</t>
  </si>
  <si>
    <t>2GZEM.14</t>
  </si>
  <si>
    <t xml:space="preserve"> 15 .</t>
  </si>
  <si>
    <t>GN 200.303.3.3</t>
  </si>
  <si>
    <t>2GZEM.15</t>
  </si>
  <si>
    <t xml:space="preserve"> 16 .</t>
  </si>
  <si>
    <t>GN 200.304.3'.3</t>
  </si>
  <si>
    <t>2GZEM.16</t>
  </si>
  <si>
    <t xml:space="preserve"> 17 .</t>
  </si>
  <si>
    <t>GN200.304'.3'.3</t>
  </si>
  <si>
    <t>2GZEM.17</t>
  </si>
  <si>
    <t xml:space="preserve"> 18 .</t>
  </si>
  <si>
    <t>GN 200.304'.5.3</t>
  </si>
  <si>
    <t>2GZEM.18</t>
  </si>
  <si>
    <t xml:space="preserve"> 19 .</t>
  </si>
  <si>
    <t>GN 200.305.1'.3</t>
  </si>
  <si>
    <t>2GZEM.19</t>
  </si>
  <si>
    <t xml:space="preserve"> 20 .</t>
  </si>
  <si>
    <t>GN 200.305'.1'.4</t>
  </si>
  <si>
    <t>2GZEM.20</t>
  </si>
  <si>
    <t xml:space="preserve"> 21 .</t>
  </si>
  <si>
    <t>GN 200.307.5.2</t>
  </si>
  <si>
    <t>2GZEM.21</t>
  </si>
  <si>
    <t xml:space="preserve"> 22 .</t>
  </si>
  <si>
    <t>GN 200.307.5.5</t>
  </si>
  <si>
    <t>2GZEM.22</t>
  </si>
  <si>
    <t xml:space="preserve"> 23 .</t>
  </si>
  <si>
    <t>GN 200.307.SK.5</t>
  </si>
  <si>
    <t>2GZEM.23</t>
  </si>
  <si>
    <t xml:space="preserve"> 24 .</t>
  </si>
  <si>
    <t>GN 200.307'.5.2</t>
  </si>
  <si>
    <t>2GZEM.24</t>
  </si>
  <si>
    <t xml:space="preserve"> 25 .</t>
  </si>
  <si>
    <t>GN 200.307'.5.4</t>
  </si>
  <si>
    <t>2GZEM.25</t>
  </si>
  <si>
    <t xml:space="preserve"> 26 .</t>
  </si>
  <si>
    <t>GN 200.311.1.2.1</t>
  </si>
  <si>
    <t>2GZEM.26</t>
  </si>
  <si>
    <t xml:space="preserve"> 27 .</t>
  </si>
  <si>
    <t>GN 200.311.1.2.2</t>
  </si>
  <si>
    <t>2GZEM.27</t>
  </si>
  <si>
    <t xml:space="preserve"> 28 .</t>
  </si>
  <si>
    <t>GN 200.311.1.2.3</t>
  </si>
  <si>
    <t>2GZEM.28</t>
  </si>
  <si>
    <t xml:space="preserve"> 29 .</t>
  </si>
  <si>
    <t>GN 200.312.1.1</t>
  </si>
  <si>
    <t>2GZEM.29</t>
  </si>
  <si>
    <t xml:space="preserve"> 30 .</t>
  </si>
  <si>
    <t>GN 200-203</t>
  </si>
  <si>
    <t xml:space="preserve"> 31 .</t>
  </si>
  <si>
    <t>GN 200.312.1.2</t>
  </si>
  <si>
    <t>2GZEM.30</t>
  </si>
  <si>
    <t xml:space="preserve"> 32 .</t>
  </si>
  <si>
    <t>GN 200.312.1.5</t>
  </si>
  <si>
    <t>2GZEM.31</t>
  </si>
  <si>
    <t xml:space="preserve"> 33 .</t>
  </si>
  <si>
    <t>GN 200.313.1</t>
  </si>
  <si>
    <t>2GZEM.32</t>
  </si>
  <si>
    <t xml:space="preserve"> 34 .</t>
  </si>
  <si>
    <t>GN 200.313.2</t>
  </si>
  <si>
    <t>2GZEM.33</t>
  </si>
  <si>
    <t xml:space="preserve"> 35 .</t>
  </si>
  <si>
    <t>GN 200.315.1</t>
  </si>
  <si>
    <t>2GZEM.34</t>
  </si>
  <si>
    <t xml:space="preserve"> 36 .</t>
  </si>
  <si>
    <t>GN 200.316.1</t>
  </si>
  <si>
    <t>2GZEM.35</t>
  </si>
  <si>
    <t xml:space="preserve"> 37 .</t>
  </si>
  <si>
    <t>GN 200.316.1.2</t>
  </si>
  <si>
    <t>2GZEM.36</t>
  </si>
  <si>
    <t xml:space="preserve"> 38 .</t>
  </si>
  <si>
    <t>GN 200.317.1.A.1</t>
  </si>
  <si>
    <t>2GZEM.37</t>
  </si>
  <si>
    <t xml:space="preserve"> 39 .</t>
  </si>
  <si>
    <t>GN 200.317.1.B.1</t>
  </si>
  <si>
    <t>2GZEM.38</t>
  </si>
  <si>
    <t xml:space="preserve"> 40 .</t>
  </si>
  <si>
    <t xml:space="preserve"> 41 .</t>
  </si>
  <si>
    <t>GN 230-402.2.2.</t>
  </si>
  <si>
    <t>С .</t>
  </si>
  <si>
    <t>Тесарски радови</t>
  </si>
  <si>
    <t>GN 200.320.11.</t>
  </si>
  <si>
    <t>3.GTES1</t>
  </si>
  <si>
    <t>GN 601.210.4 B.1.</t>
  </si>
  <si>
    <t>GN 601.211.1P</t>
  </si>
  <si>
    <t>3.GTES3</t>
  </si>
  <si>
    <t>D .</t>
  </si>
  <si>
    <t>Армирачки радови</t>
  </si>
  <si>
    <t>GN 400-101.3.1</t>
  </si>
  <si>
    <t>4.GARM1</t>
  </si>
  <si>
    <t>по kg</t>
  </si>
  <si>
    <t>GN 400-106B11</t>
  </si>
  <si>
    <t>4.GARM2</t>
  </si>
  <si>
    <t>E .</t>
  </si>
  <si>
    <t>Бетонски  радови</t>
  </si>
  <si>
    <t>GN 400.106B111</t>
  </si>
  <si>
    <t>5.GBET1</t>
  </si>
  <si>
    <t>Ручно уграђивање бетона МБ 15 -ВДП</t>
  </si>
  <si>
    <t>GN 400.106B112</t>
  </si>
  <si>
    <t>5.GBET2</t>
  </si>
  <si>
    <t>Ручно уграђивање бетона МБ 20 -ВДП</t>
  </si>
  <si>
    <t>GN 400.106B113</t>
  </si>
  <si>
    <t>5.GBET3</t>
  </si>
  <si>
    <t>Ручно уграђивање бетона МБ 25 -ВДП</t>
  </si>
  <si>
    <t>GN 400.106B114</t>
  </si>
  <si>
    <t>5.GBET4</t>
  </si>
  <si>
    <t>Ручно уграђивање бетона МБ 30 -ВДП</t>
  </si>
  <si>
    <t>Ручно уграђивање бетона МБ 40 -ВДП</t>
  </si>
  <si>
    <t>по m²</t>
  </si>
  <si>
    <t>GN 400.401.1.</t>
  </si>
  <si>
    <t>F .</t>
  </si>
  <si>
    <t>Зидарски  радови</t>
  </si>
  <si>
    <t>GN 301.404</t>
  </si>
  <si>
    <t>GN 301.101</t>
  </si>
  <si>
    <t>Зидање зидова од пуне опеке d = 25 cm (са израдом помоћне скеле)</t>
  </si>
  <si>
    <t>GN 301.770</t>
  </si>
  <si>
    <t>Малтерисање зидова у продужном малтеру (са израдом помоћне скеле)</t>
  </si>
  <si>
    <t>G .</t>
  </si>
  <si>
    <t>Монтерски  радови</t>
  </si>
  <si>
    <t>GN 410.451.1.A.7</t>
  </si>
  <si>
    <r>
      <t xml:space="preserve">Набавка, транспорт и монтажа АБ цеви </t>
    </r>
    <r>
      <rPr>
        <sz val="12"/>
        <rFont val="Times New Roman"/>
        <family val="1"/>
      </rPr>
      <t>Ø</t>
    </r>
    <r>
      <rPr>
        <sz val="12"/>
        <rFont val="Times New Roman"/>
        <family val="1"/>
      </rPr>
      <t xml:space="preserve"> 600 mm (са муфом)</t>
    </r>
  </si>
  <si>
    <t>GN 410.451.1.A.9.</t>
  </si>
  <si>
    <r>
      <t xml:space="preserve">Набавка, транспорт и монтажа АБ цеви </t>
    </r>
    <r>
      <rPr>
        <sz val="12"/>
        <rFont val="Times New Roman"/>
        <family val="1"/>
      </rPr>
      <t>Ø</t>
    </r>
    <r>
      <rPr>
        <sz val="12"/>
        <rFont val="Times New Roman"/>
        <family val="1"/>
      </rPr>
      <t xml:space="preserve"> 800 mm (са муфом)</t>
    </r>
  </si>
  <si>
    <t>GN 410.451.16 А</t>
  </si>
  <si>
    <r>
      <t xml:space="preserve">Набавка, транспорт и монтажа АБ цеви </t>
    </r>
    <r>
      <rPr>
        <sz val="12"/>
        <rFont val="Times New Roman"/>
        <family val="1"/>
      </rPr>
      <t>Ø</t>
    </r>
    <r>
      <rPr>
        <sz val="12"/>
        <rFont val="Times New Roman"/>
        <family val="1"/>
      </rPr>
      <t xml:space="preserve"> 1000 mm (са муфом)</t>
    </r>
  </si>
  <si>
    <t>GN 410.451.16.1 А</t>
  </si>
  <si>
    <r>
      <t xml:space="preserve">Набавка, транспорт и монтажа АБ цеви </t>
    </r>
    <r>
      <rPr>
        <sz val="12"/>
        <rFont val="Times New Roman"/>
        <family val="1"/>
      </rPr>
      <t>Ø</t>
    </r>
    <r>
      <rPr>
        <sz val="12"/>
        <rFont val="Times New Roman"/>
        <family val="1"/>
      </rPr>
      <t xml:space="preserve"> 1200 mm (са муфом)</t>
    </r>
  </si>
  <si>
    <t>GN 410.451.1.A.10.</t>
  </si>
  <si>
    <r>
      <t xml:space="preserve">Набавка, транспорт и монтажа АБ цеви </t>
    </r>
    <r>
      <rPr>
        <sz val="12"/>
        <rFont val="Times New Roman"/>
        <family val="1"/>
      </rPr>
      <t>Ø</t>
    </r>
    <r>
      <rPr>
        <sz val="12"/>
        <rFont val="Times New Roman"/>
        <family val="1"/>
      </rPr>
      <t xml:space="preserve"> 1000 mm (са фалцом)</t>
    </r>
  </si>
  <si>
    <t>GN 410.451.1.A.11.</t>
  </si>
  <si>
    <r>
      <t xml:space="preserve">Набавка, транспорт и монтажа АБ цеви </t>
    </r>
    <r>
      <rPr>
        <sz val="12"/>
        <rFont val="Times New Roman"/>
        <family val="1"/>
      </rPr>
      <t>Ø</t>
    </r>
    <r>
      <rPr>
        <sz val="12"/>
        <rFont val="Times New Roman"/>
        <family val="1"/>
      </rPr>
      <t xml:space="preserve"> 1200 mm (са фалцом)</t>
    </r>
  </si>
  <si>
    <r>
      <t xml:space="preserve">Набавка, транспорт и монтажа АБ цеви </t>
    </r>
    <r>
      <rPr>
        <sz val="12"/>
        <rFont val="Times New Roman"/>
        <family val="1"/>
      </rPr>
      <t>Ø</t>
    </r>
    <r>
      <rPr>
        <sz val="12"/>
        <rFont val="Times New Roman"/>
        <family val="1"/>
      </rPr>
      <t xml:space="preserve"> 1300 mm (са фалцом)</t>
    </r>
  </si>
  <si>
    <t>GN 410.451.1.A.12.</t>
  </si>
  <si>
    <r>
      <t xml:space="preserve">Набавка, транспорт и монтажа АБ цеви </t>
    </r>
    <r>
      <rPr>
        <sz val="12"/>
        <rFont val="Times New Roman"/>
        <family val="1"/>
      </rPr>
      <t>Ø</t>
    </r>
    <r>
      <rPr>
        <sz val="12"/>
        <rFont val="Times New Roman"/>
        <family val="1"/>
      </rPr>
      <t xml:space="preserve"> 1400 mm (са фалцом)</t>
    </r>
  </si>
  <si>
    <t>GN 410.451.1.A.13.</t>
  </si>
  <si>
    <r>
      <t xml:space="preserve">Набавка, транспорт и монтажа АБ цеви </t>
    </r>
    <r>
      <rPr>
        <sz val="12"/>
        <rFont val="Times New Roman"/>
        <family val="1"/>
      </rPr>
      <t>Ø</t>
    </r>
    <r>
      <rPr>
        <sz val="12"/>
        <rFont val="Times New Roman"/>
        <family val="1"/>
      </rPr>
      <t xml:space="preserve"> 1600 mm (са фалцом)</t>
    </r>
  </si>
  <si>
    <t>GN 410.451.1.A.14.</t>
  </si>
  <si>
    <r>
      <t xml:space="preserve">Набавка, транспорт и монтажа АБ цеви </t>
    </r>
    <r>
      <rPr>
        <sz val="12"/>
        <rFont val="Times New Roman"/>
        <family val="1"/>
      </rPr>
      <t>Ø</t>
    </r>
    <r>
      <rPr>
        <sz val="12"/>
        <rFont val="Times New Roman"/>
        <family val="1"/>
      </rPr>
      <t xml:space="preserve"> 1800 mm (са фалцом)</t>
    </r>
  </si>
  <si>
    <t>GN 410.451.1.A.15.</t>
  </si>
  <si>
    <r>
      <t xml:space="preserve">Набавка, транспорт и монтажа АБ цеви </t>
    </r>
    <r>
      <rPr>
        <sz val="12"/>
        <rFont val="Times New Roman"/>
        <family val="1"/>
      </rPr>
      <t>Ø</t>
    </r>
    <r>
      <rPr>
        <sz val="12"/>
        <rFont val="Times New Roman"/>
        <family val="1"/>
      </rPr>
      <t xml:space="preserve"> 2000 mm (са фалцом)</t>
    </r>
  </si>
  <si>
    <r>
      <t xml:space="preserve">Набавка, транспорт и монтажа АБ цеви </t>
    </r>
    <r>
      <rPr>
        <sz val="12"/>
        <rFont val="Times New Roman"/>
        <family val="1"/>
      </rPr>
      <t>Ø</t>
    </r>
    <r>
      <rPr>
        <sz val="12"/>
        <rFont val="Times New Roman"/>
        <family val="1"/>
      </rPr>
      <t xml:space="preserve"> 2200 mm (са фалцом)</t>
    </r>
  </si>
  <si>
    <r>
      <t xml:space="preserve">Набавка, транспорт и монтажа АБ цеви </t>
    </r>
    <r>
      <rPr>
        <sz val="12"/>
        <rFont val="Times New Roman"/>
        <family val="1"/>
      </rPr>
      <t>Ø</t>
    </r>
    <r>
      <rPr>
        <sz val="12"/>
        <rFont val="Times New Roman"/>
        <family val="1"/>
      </rPr>
      <t xml:space="preserve"> 2400 mm (са фалцом)</t>
    </r>
  </si>
  <si>
    <t>GN 274-302.1</t>
  </si>
  <si>
    <t>Набавка, транспорт и монтажа дренажних цеви Ø 80</t>
  </si>
  <si>
    <t>GN 274-302.2</t>
  </si>
  <si>
    <t>Набавка, транспорт и монтажа дренажних цеви Ø 100</t>
  </si>
  <si>
    <t>GN 274-302.3</t>
  </si>
  <si>
    <t>Набавка, транспорт и монтажа дренажних цеви Ø 150</t>
  </si>
  <si>
    <t>GN 410.455.1'А2</t>
  </si>
  <si>
    <t>Набавка, транспорт и уградња PVC цеви 125х1000</t>
  </si>
  <si>
    <t>GN 410.455.1'А3</t>
  </si>
  <si>
    <t>GN 410.455.1'А4</t>
  </si>
  <si>
    <t>GN 242-501.1.3.</t>
  </si>
  <si>
    <t>Полагање бетонских плоча на подлоузи од песка 40/40/5 cm</t>
  </si>
  <si>
    <t>GN 242-501.1.</t>
  </si>
  <si>
    <t>Полагање бетонских растер елемената на подлогу од песка 40/60/8 cm</t>
  </si>
  <si>
    <t>GN 242-402.3</t>
  </si>
  <si>
    <t>GN 242-402.3.</t>
  </si>
  <si>
    <t>Полагање ивичњака на подлогу од бетона са фуговањем 18/24/80 cm</t>
  </si>
  <si>
    <t>GN 242-402.2</t>
  </si>
  <si>
    <t>GN 242-402.5.</t>
  </si>
  <si>
    <t>GN 242-402.6.</t>
  </si>
  <si>
    <t>GN 242-402.7.</t>
  </si>
  <si>
    <t>GN 274 501</t>
  </si>
  <si>
    <t>Набавка и уградња бетонских каналета 50 х 40 х 10 cm</t>
  </si>
  <si>
    <t>Набавка и уградња бетонских ригола 50 х 40 х 12 cm</t>
  </si>
  <si>
    <t>Набавка транспорт и уградња бетонских репера са стопом 10 х 10 х 60 cm</t>
  </si>
  <si>
    <t>Набавка транспорт и уградња АБ стубова за ограду 10 х 12 х 250 cm (прави)</t>
  </si>
  <si>
    <t>Набавка транспорт и уградња АБ стубова за ограду 10 х 12 х 300 cm (криви)</t>
  </si>
  <si>
    <t>GN 410 459.4</t>
  </si>
  <si>
    <t>GN 410 480.1-3</t>
  </si>
  <si>
    <t>Набавка, транспорт и уградња AБ елемената за шахте - прстен за шахт Ø 1000/250</t>
  </si>
  <si>
    <t>Набавка, транспорт и уградња AБ елемената за шахте - прстен за шахт Ø 1000/500</t>
  </si>
  <si>
    <t>Набавка, транспорт и уградња AБ елемената за шахте - прстен за шахт Ø 1000/1000</t>
  </si>
  <si>
    <t xml:space="preserve"> 42 .</t>
  </si>
  <si>
    <t>Набавка, транспорт и уградња AБ елемената за шахте - кинета Ø 1000/750</t>
  </si>
  <si>
    <t xml:space="preserve"> 43 .</t>
  </si>
  <si>
    <t>Набавка, транспорт и уградња AБ елемената за шахте - кинета Ø 1000/1000</t>
  </si>
  <si>
    <t xml:space="preserve"> 44 .</t>
  </si>
  <si>
    <t>Набавка, транспорт и уградња бетонске плоче за шахт Ø 1150/650/200</t>
  </si>
  <si>
    <t xml:space="preserve"> 45 .</t>
  </si>
  <si>
    <t>Набавка, транспорт и уградња бетонске плоче за шахт  са закошењем Ø 1150/650/200</t>
  </si>
  <si>
    <t xml:space="preserve"> 46 .</t>
  </si>
  <si>
    <t>Набавка, транспорт и уградња AБ рамовског пропуста 2,0 х 2,0m L=1,0m</t>
  </si>
  <si>
    <t xml:space="preserve"> 47 .</t>
  </si>
  <si>
    <t>Набавка, транспорт и уградња AБ рамовског пропуста 2,5 х 2,5m L=1,0m</t>
  </si>
  <si>
    <t xml:space="preserve"> 48 .</t>
  </si>
  <si>
    <t>GN 361-112</t>
  </si>
  <si>
    <t xml:space="preserve"> 49 .</t>
  </si>
  <si>
    <t>GN 410.469.3.А.2</t>
  </si>
  <si>
    <t xml:space="preserve"> 50 .</t>
  </si>
  <si>
    <t>GN 410.469.3.А.3</t>
  </si>
  <si>
    <t xml:space="preserve"> 51 .</t>
  </si>
  <si>
    <t>GN 410.469.3.А.4</t>
  </si>
  <si>
    <t xml:space="preserve"> 52 .</t>
  </si>
  <si>
    <t>GN 410.469.3.А.5</t>
  </si>
  <si>
    <t xml:space="preserve"> 53 .</t>
  </si>
  <si>
    <t xml:space="preserve"> 54 .</t>
  </si>
  <si>
    <t>GN 200.501.3.</t>
  </si>
  <si>
    <t>Набавка, транспорт и уградња плетене поцинковане жице 50х50/1,8mm</t>
  </si>
  <si>
    <t xml:space="preserve"> 55 .</t>
  </si>
  <si>
    <t>GN 361-101</t>
  </si>
  <si>
    <t>Набавка, транспорт и уградња тер хартије на битумену или битулиту</t>
  </si>
  <si>
    <t xml:space="preserve">m² </t>
  </si>
  <si>
    <t>H .</t>
  </si>
  <si>
    <t>Браварски радови</t>
  </si>
  <si>
    <t>GN 701.401.A</t>
  </si>
  <si>
    <t>Уградња разних челичних профила на водним објектима</t>
  </si>
  <si>
    <t>GN 701.301.A</t>
  </si>
  <si>
    <t xml:space="preserve">Израда и монтажа металне ограде </t>
  </si>
  <si>
    <t>I .</t>
  </si>
  <si>
    <t>Биолошки и биoтехнички радови</t>
  </si>
  <si>
    <t>GN 274.601.1</t>
  </si>
  <si>
    <t>6.GBBR1</t>
  </si>
  <si>
    <t>GN 274.601.2</t>
  </si>
  <si>
    <t>6.GBBR2</t>
  </si>
  <si>
    <t>GN 274.601.3</t>
  </si>
  <si>
    <t>6.GBBR3</t>
  </si>
  <si>
    <t>GN 274.601.4</t>
  </si>
  <si>
    <t>6.GBBR4</t>
  </si>
  <si>
    <t>GN 400.602.41</t>
  </si>
  <si>
    <t>6.GBBR5</t>
  </si>
  <si>
    <t>GN 200.317.1.A.4</t>
  </si>
  <si>
    <t>6.GBBR6</t>
  </si>
  <si>
    <t>GN 200.317.1.B.4</t>
  </si>
  <si>
    <t>6.GBBR7</t>
  </si>
  <si>
    <t>GN 200.205.2.B1</t>
  </si>
  <si>
    <t>6.GBBR8</t>
  </si>
  <si>
    <t>GN 200.205.2.B2</t>
  </si>
  <si>
    <t>6.GBBR9</t>
  </si>
  <si>
    <t>GN 200.205.2.B3</t>
  </si>
  <si>
    <t>6.GBBR10</t>
  </si>
  <si>
    <t>GN 200.205.2.B4</t>
  </si>
  <si>
    <t>6.GBBR11</t>
  </si>
  <si>
    <t>GN 200.206.1.1</t>
  </si>
  <si>
    <t>6.GBBR12</t>
  </si>
  <si>
    <t>GN 200.206.1.2</t>
  </si>
  <si>
    <t>6.GBBR13</t>
  </si>
  <si>
    <t>GN 200.206.1.3</t>
  </si>
  <si>
    <t>6.GBBR14</t>
  </si>
  <si>
    <t>GN 200.206.1.4</t>
  </si>
  <si>
    <t>6.GBBR15</t>
  </si>
  <si>
    <t>GN 200.207.2.1</t>
  </si>
  <si>
    <t>6.GBBR16</t>
  </si>
  <si>
    <t>GN 200.207.2.2</t>
  </si>
  <si>
    <t>6.GBBR17</t>
  </si>
  <si>
    <t>GN 200.207.1.</t>
  </si>
  <si>
    <t>J .</t>
  </si>
  <si>
    <t>Радови у камену</t>
  </si>
  <si>
    <t>GN 900.103.23</t>
  </si>
  <si>
    <t>7GRK1</t>
  </si>
  <si>
    <t>GN 301-351.A.2</t>
  </si>
  <si>
    <t>GN 301-352.2</t>
  </si>
  <si>
    <t>GN 301-782.2</t>
  </si>
  <si>
    <t>GN 222-402.1</t>
  </si>
  <si>
    <t>K .</t>
  </si>
  <si>
    <t>Пренос грађевинског материјала на даљину до 50 m</t>
  </si>
  <si>
    <t>GN 900.103.9</t>
  </si>
  <si>
    <t>8GPGM1</t>
  </si>
  <si>
    <t>GN 900.103.13</t>
  </si>
  <si>
    <t>8GPGM2</t>
  </si>
  <si>
    <t>GN 900.103.16</t>
  </si>
  <si>
    <t>8GPGM3</t>
  </si>
  <si>
    <t>GN 900.103.19</t>
  </si>
  <si>
    <t>8GPGM4</t>
  </si>
  <si>
    <t>GN 900.103.20</t>
  </si>
  <si>
    <t>8GPGM5</t>
  </si>
  <si>
    <t>GN 900.103.22</t>
  </si>
  <si>
    <t>8GPGM6</t>
  </si>
  <si>
    <t>8GPGM7</t>
  </si>
  <si>
    <t>GN 900.103.25</t>
  </si>
  <si>
    <t>8GPGM8</t>
  </si>
  <si>
    <t>GN 900.103.28</t>
  </si>
  <si>
    <t>8GPGM9</t>
  </si>
  <si>
    <t>Превоз материјала у комадима до 20 kg по комаду</t>
  </si>
  <si>
    <t>GN 900.103.29</t>
  </si>
  <si>
    <t>8GPGM10</t>
  </si>
  <si>
    <t>Превоз материјала у комадима преко 20 kg по комаду</t>
  </si>
  <si>
    <t>GN 900.117.3</t>
  </si>
  <si>
    <t>8GPGM11</t>
  </si>
  <si>
    <t>GN 900.117.5</t>
  </si>
  <si>
    <t>8GPGM12</t>
  </si>
  <si>
    <t>GN 900.117.20</t>
  </si>
  <si>
    <t>8GPGM13</t>
  </si>
  <si>
    <t>GN 900.117.26</t>
  </si>
  <si>
    <t>8GPGM14</t>
  </si>
  <si>
    <t>GN 900.117.30</t>
  </si>
  <si>
    <t>8GPGM15</t>
  </si>
  <si>
    <t>GN 900.117.70</t>
  </si>
  <si>
    <t>8GPGM16</t>
  </si>
  <si>
    <t>GN 900.117.93</t>
  </si>
  <si>
    <t>8GPGM17</t>
  </si>
  <si>
    <t>по t</t>
  </si>
  <si>
    <t>L .</t>
  </si>
  <si>
    <t>16G-16/09</t>
  </si>
  <si>
    <t>Механизација</t>
  </si>
  <si>
    <t>16.1.</t>
  </si>
  <si>
    <t>16.1.G-16/09</t>
  </si>
  <si>
    <t>пo час.</t>
  </si>
  <si>
    <t>16.2.</t>
  </si>
  <si>
    <t>16.2.G-16/09</t>
  </si>
  <si>
    <t>16.3.</t>
  </si>
  <si>
    <t>16.3.G-16/09</t>
  </si>
  <si>
    <t>16.4.</t>
  </si>
  <si>
    <t>16.4.G-16/09</t>
  </si>
  <si>
    <t>16.5.</t>
  </si>
  <si>
    <t>16.5.G-16/09</t>
  </si>
  <si>
    <t>16.6.</t>
  </si>
  <si>
    <t>16.6.G-16/09</t>
  </si>
  <si>
    <t>16.7.</t>
  </si>
  <si>
    <t>16.7.G-16/09</t>
  </si>
  <si>
    <t>16.8.1.</t>
  </si>
  <si>
    <t>16.8.1.G-16/09</t>
  </si>
  <si>
    <t>16.8.2.</t>
  </si>
  <si>
    <t>16.8.2.G-16/09</t>
  </si>
  <si>
    <t>16.8.3.</t>
  </si>
  <si>
    <t>16.8.3.G-16/09</t>
  </si>
  <si>
    <t>16.8.4.</t>
  </si>
  <si>
    <t>16.8.4.G-16/09</t>
  </si>
  <si>
    <t>16.9.</t>
  </si>
  <si>
    <t>16.9.G-16/09</t>
  </si>
  <si>
    <t>16.10.</t>
  </si>
  <si>
    <t>16.10.G-16/09</t>
  </si>
  <si>
    <t>16.11.</t>
  </si>
  <si>
    <t>16.11.G-16/09</t>
  </si>
  <si>
    <t>16.12.</t>
  </si>
  <si>
    <t>16.12.G-16/09</t>
  </si>
  <si>
    <t>16.13</t>
  </si>
  <si>
    <t>16.13.G-16/09</t>
  </si>
  <si>
    <t>16.14.</t>
  </si>
  <si>
    <t>16.14.G-16/09</t>
  </si>
  <si>
    <t>16.15.</t>
  </si>
  <si>
    <t>16.15.G-16/09</t>
  </si>
  <si>
    <t>16.16.</t>
  </si>
  <si>
    <t>16.16.G-16/09</t>
  </si>
  <si>
    <t>16.17.</t>
  </si>
  <si>
    <t>16.17.G-16/09</t>
  </si>
  <si>
    <t>16.18.</t>
  </si>
  <si>
    <t>16.18.G-16/09</t>
  </si>
  <si>
    <t>по дану</t>
  </si>
  <si>
    <t>по km</t>
  </si>
  <si>
    <t>M .</t>
  </si>
  <si>
    <t>Пумпе за воду и ситна грађевинска механизација</t>
  </si>
  <si>
    <t>16.19.</t>
  </si>
  <si>
    <t>16.20.</t>
  </si>
  <si>
    <t>16.21.</t>
  </si>
  <si>
    <t>16.22.</t>
  </si>
  <si>
    <t>N .</t>
  </si>
  <si>
    <t>Превоз</t>
  </si>
  <si>
    <r>
      <t>по m</t>
    </r>
    <r>
      <rPr>
        <sz val="12"/>
        <rFont val="Times New Roman"/>
        <family val="1"/>
      </rPr>
      <t>³</t>
    </r>
    <r>
      <rPr>
        <sz val="12"/>
        <rFont val="Times New Roman"/>
        <family val="1"/>
      </rPr>
      <t>/km</t>
    </r>
  </si>
  <si>
    <t>16.23.</t>
  </si>
  <si>
    <t>16.24.</t>
  </si>
  <si>
    <t>16.25.</t>
  </si>
  <si>
    <t>16.26.</t>
  </si>
  <si>
    <t>16.27.</t>
  </si>
  <si>
    <t>16.28.</t>
  </si>
  <si>
    <t>16.29.</t>
  </si>
  <si>
    <t>по тури</t>
  </si>
  <si>
    <t>O .</t>
  </si>
  <si>
    <t>Вађење, транспорт и лагеровање потопљених пловних објеката</t>
  </si>
  <si>
    <t>Вађење потопљених пловних објеката на Сави и Дунаву:</t>
  </si>
  <si>
    <t>Транспорт дизалице до 5 km</t>
  </si>
  <si>
    <t>паушално</t>
  </si>
  <si>
    <t>Транспорт дизалице до 10 km</t>
  </si>
  <si>
    <t>Транспорт дизалице до 30 km</t>
  </si>
  <si>
    <t>Транспорт извађеног објекта и осталих објеката са места вађења до одредишта</t>
  </si>
  <si>
    <t>Лагеровање и чување објеката</t>
  </si>
  <si>
    <t>P .</t>
  </si>
  <si>
    <t>Спровођење мера при хаваријским загађењима</t>
  </si>
  <si>
    <t>по час.</t>
  </si>
  <si>
    <t>по литру</t>
  </si>
  <si>
    <t>R .</t>
  </si>
  <si>
    <t>Ангажовање пловне механизације</t>
  </si>
  <si>
    <t>S .</t>
  </si>
  <si>
    <t xml:space="preserve">Радови на пошумљавању </t>
  </si>
  <si>
    <t>пo km</t>
  </si>
  <si>
    <t>пo ком.</t>
  </si>
  <si>
    <t>T .</t>
  </si>
  <si>
    <t>U .</t>
  </si>
  <si>
    <t>Јединичне цене стручне радне снаге у служби накнада и такси</t>
  </si>
  <si>
    <t>Дипломирани економиста у служби накнада спец.</t>
  </si>
  <si>
    <t>Референт ВШ у служби накнада</t>
  </si>
  <si>
    <t>V .</t>
  </si>
  <si>
    <t>Јединичне цене за функционалне пословима на водном подручју града Београда</t>
  </si>
  <si>
    <t>ЈВП "Београдводе"</t>
  </si>
  <si>
    <t>Ненад Ђинђић, дипл.инж.</t>
  </si>
  <si>
    <t>РБ</t>
  </si>
  <si>
    <t>Врста сортимента</t>
  </si>
  <si>
    <t>На кам. путу</t>
  </si>
  <si>
    <t>На пању</t>
  </si>
  <si>
    <t>I категорија</t>
  </si>
  <si>
    <t>II категорија</t>
  </si>
  <si>
    <t>III категорија</t>
  </si>
  <si>
    <t>IV категорија</t>
  </si>
  <si>
    <t>V категорија</t>
  </si>
  <si>
    <t>Трупци еуро тополе</t>
  </si>
  <si>
    <t>Трупци домаће тополе и врбе</t>
  </si>
  <si>
    <t>Трупци јасена</t>
  </si>
  <si>
    <t>Трупци багрема</t>
  </si>
  <si>
    <t>Трупци домаћег ораха и црног ораха</t>
  </si>
  <si>
    <t>Труци воћкарица</t>
  </si>
  <si>
    <t>Грађа - Рудно дрво</t>
  </si>
  <si>
    <t>Грађа - Борови</t>
  </si>
  <si>
    <t>Грађа - Ј/С</t>
  </si>
  <si>
    <t>Огревно дрво ТЛ, I класа</t>
  </si>
  <si>
    <t>Огревно дрво ТЛ, II klasa</t>
  </si>
  <si>
    <t>Сеченице тврдих лишћара</t>
  </si>
  <si>
    <t>Шумски остаци тврдих лишћара</t>
  </si>
  <si>
    <t>Огревно дрво меких лишћара и четинара, I класе</t>
  </si>
  <si>
    <t>Огревно дрво меких лишћара и четинара , II класе</t>
  </si>
  <si>
    <t>Сеченице МЛ и четинара</t>
  </si>
  <si>
    <t>Шумски остаци меких лишћара</t>
  </si>
  <si>
    <t>Огревно дрво из пожаришта</t>
  </si>
  <si>
    <t>Огревно дрво осталих врста из пожар.</t>
  </si>
  <si>
    <t>Шумски отпад из пожаришта</t>
  </si>
  <si>
    <t>Шумски отпад после поплава</t>
  </si>
  <si>
    <t>Бор рудно дрво из пожаришта</t>
  </si>
  <si>
    <t>* Ценовник огревног дрвета (на колском путу / пању сортиран по категоријама) приложен је као одвојена табела</t>
  </si>
  <si>
    <t>F &gt; 35 cm</t>
  </si>
  <si>
    <r>
      <t xml:space="preserve">ЦЕНОВНИК </t>
    </r>
    <r>
      <rPr>
        <b/>
        <sz val="12"/>
        <rFont val="Times New Roman"/>
        <family val="1"/>
      </rPr>
      <t xml:space="preserve">
ОСНОВНИХ ПОЗИЦИЈА УСЛУГА И РАДОВА НА РЕДОВНОМ ОДРЖАВАЊУ ВОДНИХ ОБЈЕКАТА 
(ВОДОТОКА И РЕГУЛАЦИОНИХ ГРАЂЕВИНА), УКЛАЊАЊА ПЛОВНИХ ОБЈЕКАТА И 
ПОСЕЧЕНОГ ДРВЕТА ПО СОРТИМЕНТИМА
НА ТЕРИТОРИЈИ ГРАДА БЕОГРАДА</t>
    </r>
  </si>
  <si>
    <r>
      <t>Технички пловни објекат (понтон) од 20 m</t>
    </r>
    <r>
      <rPr>
        <sz val="12"/>
        <rFont val="Times New Roman"/>
        <family val="1"/>
      </rPr>
      <t>²</t>
    </r>
    <r>
      <rPr>
        <sz val="12"/>
        <rFont val="Times New Roman"/>
        <family val="1"/>
      </rPr>
      <t xml:space="preserve"> </t>
    </r>
    <r>
      <rPr>
        <sz val="12"/>
        <rFont val="Times New Roman"/>
        <family val="1"/>
      </rPr>
      <t xml:space="preserve">до 120 m² </t>
    </r>
  </si>
  <si>
    <t>Образац 4</t>
  </si>
  <si>
    <t>Предузеће: ЈАВНО ВОДОПРИВРЕДНО ПРЕДУЗЕЋЕ "БЕОГРАДВОДЕ"БЕОГРАД</t>
  </si>
  <si>
    <t>Образац 7</t>
  </si>
  <si>
    <t>НЕТО ДОБИТ - претходне уплате</t>
  </si>
  <si>
    <t>Пословна година</t>
  </si>
  <si>
    <t>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</si>
  <si>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</si>
  <si>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</si>
  <si>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</si>
  <si>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</si>
  <si>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 (нераспоређена добит)</t>
  </si>
  <si>
    <t>Правни основ</t>
  </si>
  <si>
    <t>Укупно уплаћено у буџет 
10=4+7</t>
  </si>
  <si>
    <t>Нето добит у претходној години</t>
  </si>
  <si>
    <t>Планирани износ уплате нето добити из претходне године</t>
  </si>
  <si>
    <t>Планирана динамика уплате у текућој години</t>
  </si>
  <si>
    <t>Планирани износ уплате нераспоређене добити</t>
  </si>
  <si>
    <t>Укупно 
6=2+4</t>
  </si>
  <si>
    <t>Овлашћено лице___________________________</t>
  </si>
  <si>
    <t>39.248.415*</t>
  </si>
  <si>
    <t>Образац 11</t>
  </si>
  <si>
    <t>Исправка вредности</t>
  </si>
  <si>
    <t>Реализација 
01.01-31.12.2016.      Претходна година</t>
  </si>
  <si>
    <t>План за
01.01-31.12.2017.             Текућа година</t>
  </si>
  <si>
    <t>I квартал 01.01.-31.03.2017.</t>
  </si>
  <si>
    <t xml:space="preserve">Стање на дан 
31.12.2016.
</t>
  </si>
  <si>
    <t xml:space="preserve">Планирано стање 
на дан 31.12.2017. </t>
  </si>
  <si>
    <t>31.03.2017.</t>
  </si>
  <si>
    <t>Стање кредитне задужености 
на ДД. ММ. 31.12.2017. године у оригиналној валути</t>
  </si>
  <si>
    <t>Стање кредитне задужености 
на ДД. ММ.31.12.2017. године у динарима</t>
  </si>
  <si>
    <t>30.06.2017.</t>
  </si>
  <si>
    <t>30.09.2017.</t>
  </si>
  <si>
    <t>31.12.2017.</t>
  </si>
  <si>
    <t>Предузеће: ЈВП БЕОГРАДВОДЕ БЕОГРАД</t>
  </si>
  <si>
    <t>Матични број:07029110</t>
  </si>
  <si>
    <t xml:space="preserve"> БРУТО ПОТРАЖИВАЊА ЈАВНОГ ПРЕДУЗЕЋА ЗА ДАТЕ КРЕДИТЕ И ЗАЈМОВЕ, ПРОДАТЕ ПРОИЗВОДЕ, РОБУ И УСЛУГЕ И ДАТЕ АВАНСЕ И ДРУГА ПОТРАЖИВАЊА</t>
  </si>
  <si>
    <t>Озн. за АОП</t>
  </si>
  <si>
    <t xml:space="preserve">Бруто </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</si>
  <si>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</si>
  <si>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</si>
  <si>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</si>
  <si>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</si>
  <si>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</si>
  <si>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</si>
  <si>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</si>
  <si>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</si>
  <si>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</si>
  <si>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</si>
  <si>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</si>
  <si>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</si>
  <si>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</si>
  <si>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</si>
  <si>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</si>
  <si>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</si>
  <si>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</si>
  <si>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</si>
  <si>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</si>
  <si>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</si>
  <si>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</si>
  <si>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</si>
  <si>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</si>
  <si>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</si>
  <si>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</si>
  <si>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</si>
  <si>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</si>
  <si>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</si>
  <si>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</si>
  <si>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</si>
  <si>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</si>
  <si>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</si>
  <si>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</si>
  <si>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</si>
  <si>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</si>
  <si>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</si>
  <si>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</si>
  <si>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</si>
  <si>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</si>
  <si>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</si>
  <si>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</si>
  <si>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</si>
  <si>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</si>
  <si>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</si>
  <si>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</si>
  <si>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</si>
  <si>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</si>
  <si>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Образац 9</t>
  </si>
  <si>
    <t>Укупно у динарима</t>
  </si>
  <si>
    <t xml:space="preserve">                                                    Овлашћено лице: ____________________________________</t>
  </si>
  <si>
    <t>М.П.</t>
  </si>
  <si>
    <t>31.12.2016. (претходна година)</t>
  </si>
  <si>
    <t>Број ангажованих по основу уговора (рад ван радног односа)</t>
  </si>
  <si>
    <t>*последњи дан претходног тромесечја</t>
  </si>
  <si>
    <t>** последњи дан тромесечја за који се извештај доставља</t>
  </si>
  <si>
    <t>Стање на 31.03.2017. године**</t>
  </si>
  <si>
    <t>* добит из 2015. године je искоришћена за покриће губитка из ранијих година Одлуком Надзорног одбора број 1863/13 од 15.04.2016.године, а на коју је Оснивач дао сагласност                    Решењем број 4-247/16-С од 28.04.2016. године</t>
  </si>
  <si>
    <t>141.960.541**</t>
  </si>
  <si>
    <t>Датум</t>
  </si>
  <si>
    <t>* у стање на крају квартала су приказана и три запослена којима је стаж у мировању</t>
  </si>
  <si>
    <t>План за
01.01-31.12.2017..             Текућа година</t>
  </si>
  <si>
    <t>II квартал 01.01.-30.06.2017.</t>
  </si>
  <si>
    <t xml:space="preserve">II квартал/ план текућа година </t>
  </si>
  <si>
    <t>БИЛАНС УСПЕХА у периоду 01.01.-30.06.2017.</t>
  </si>
  <si>
    <t>БИЛАНС СТАЊА  на дан  30.06.2017.</t>
  </si>
  <si>
    <t>Стање на 30.06.2017. / програм текућа година</t>
  </si>
  <si>
    <t>у периоду од 01.01. до 30.06. 2017. године</t>
  </si>
  <si>
    <t xml:space="preserve">Индекс 
II квартал/ програм текућа година </t>
  </si>
  <si>
    <t xml:space="preserve">Индекс 
 II квартал/ план текућа година </t>
  </si>
  <si>
    <t>Стање на 30.06.2017. године**</t>
  </si>
  <si>
    <t xml:space="preserve">Индекс 
 II квартал/ текућа година </t>
  </si>
  <si>
    <t>Други квартал 01.01.-30.06.2017.</t>
  </si>
  <si>
    <t>** добит из 2016. године је искоришћена за покриће губитка из ранијих година Одлуком Надзорног одбора број 2126/4 од 29.05.2017. године, а на коју је Оснивач дао сагласност Решењем број 3-458/17-С од 29.06.2017. године</t>
  </si>
  <si>
    <t>На дан 30.06.2017. године</t>
  </si>
  <si>
    <t>Споразумни раскид уговора</t>
  </si>
  <si>
    <t>Престанак важења уговора</t>
  </si>
  <si>
    <t>Уговор о ПП пословима</t>
  </si>
  <si>
    <t>прелазни рачун</t>
  </si>
  <si>
    <t>У другом кварталу 2017.године исплаћене су следеће зараде: мартовска, априлска и мајска зарада.</t>
  </si>
  <si>
    <t>Привремени и повремени послови: мартовска, априлска и мајска накнада.</t>
  </si>
  <si>
    <t>Надзорни одбор: мартовска, априлска и мајска накнада.</t>
  </si>
  <si>
    <t>Стипендије: март, април и мај.</t>
  </si>
  <si>
    <t>24.07.2017.</t>
  </si>
  <si>
    <t xml:space="preserve">Датум: 24.07.2017.                                                                                                                           </t>
  </si>
  <si>
    <t>Датум: 24.07.2017.</t>
  </si>
  <si>
    <t>Датум:24.07.2017.</t>
  </si>
</sst>
</file>

<file path=xl/styles.xml><?xml version="1.0" encoding="utf-8"?>
<styleSheet xmlns="http://schemas.openxmlformats.org/spreadsheetml/2006/main">
  <numFmts count="2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_(* #,##0_);_(* \(#,##0\);_(* &quot;-&quot;??_);_(@_)"/>
  </numFmts>
  <fonts count="71">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1"/>
      <name val="Times New Roman"/>
      <family val="1"/>
    </font>
    <font>
      <sz val="11"/>
      <color indexed="8"/>
      <name val="Times New Roman"/>
      <family val="1"/>
    </font>
    <font>
      <sz val="12"/>
      <color indexed="8"/>
      <name val="Times New Roman"/>
      <family val="1"/>
    </font>
    <font>
      <sz val="14"/>
      <name val="Times New Roman"/>
      <family val="1"/>
    </font>
    <font>
      <sz val="16"/>
      <name val="Times New Roman"/>
      <family val="1"/>
    </font>
    <font>
      <sz val="14"/>
      <name val="Arial"/>
      <family val="2"/>
    </font>
    <font>
      <b/>
      <sz val="12"/>
      <name val="Arial"/>
      <family val="2"/>
    </font>
    <font>
      <b/>
      <sz val="10"/>
      <name val="Arial"/>
      <family val="2"/>
    </font>
    <font>
      <i/>
      <sz val="12"/>
      <name val="Times New Roman"/>
      <family val="1"/>
    </font>
    <font>
      <sz val="12"/>
      <color indexed="10"/>
      <name val="Times New Roman"/>
      <family val="1"/>
    </font>
    <font>
      <b/>
      <sz val="12"/>
      <color indexed="8"/>
      <name val="Times New Roman"/>
      <family val="1"/>
    </font>
    <font>
      <b/>
      <i/>
      <sz val="12"/>
      <name val="Arial"/>
      <family val="2"/>
    </font>
    <font>
      <sz val="12"/>
      <color indexed="10"/>
      <name val="Arial"/>
      <family val="2"/>
    </font>
    <font>
      <b/>
      <sz val="10"/>
      <color indexed="8"/>
      <name val="Times New Roman"/>
      <family val="1"/>
    </font>
    <font>
      <sz val="10"/>
      <name val="Times New Roman"/>
      <family val="1"/>
    </font>
    <font>
      <b/>
      <sz val="10"/>
      <name val="Times New Roman"/>
      <family val="1"/>
    </font>
    <font>
      <sz val="9"/>
      <name val="Times New Roman"/>
      <family val="1"/>
    </font>
    <font>
      <sz val="8"/>
      <name val="Times New Roman"/>
      <family val="1"/>
    </font>
    <font>
      <sz val="16"/>
      <name val="Arial"/>
      <family val="2"/>
    </font>
    <font>
      <b/>
      <sz val="16"/>
      <name val="Times New Roman"/>
      <family val="1"/>
    </font>
    <font>
      <b/>
      <sz val="2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9"/>
      <name val="Times New Roman"/>
      <family val="1"/>
    </font>
    <font>
      <sz val="16"/>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i/>
      <sz val="12"/>
      <color theme="0"/>
      <name val="Times New Roman"/>
      <family val="1"/>
    </font>
    <font>
      <sz val="16"/>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style="double"/>
    </border>
    <border>
      <left style="thin"/>
      <right style="medium"/>
      <top style="thin"/>
      <bottom style="double"/>
    </border>
    <border>
      <left style="thin"/>
      <right style="thin"/>
      <top style="double"/>
      <bottom style="thin"/>
    </border>
    <border>
      <left style="thin"/>
      <right style="medium"/>
      <top style="double"/>
      <bottom style="thin"/>
    </border>
    <border>
      <left style="thin"/>
      <right style="medium"/>
      <top>
        <color indexed="63"/>
      </top>
      <bottom style="thin"/>
    </border>
    <border>
      <left style="thin"/>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style="medium"/>
      <right style="thin"/>
      <top style="thick"/>
      <bottom style="medium"/>
    </border>
    <border>
      <left style="thin"/>
      <right style="medium"/>
      <top style="thick"/>
      <bottom style="medium"/>
    </border>
    <border>
      <left>
        <color indexed="63"/>
      </left>
      <right>
        <color indexed="63"/>
      </right>
      <top style="thick"/>
      <bottom style="medium"/>
    </border>
    <border>
      <left style="thin"/>
      <right>
        <color indexed="63"/>
      </right>
      <top style="thick"/>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medium"/>
      <bottom style="thin"/>
    </border>
    <border>
      <left style="hair"/>
      <right style="hair"/>
      <top style="medium"/>
      <bottom style="thin"/>
    </border>
    <border>
      <left>
        <color indexed="63"/>
      </left>
      <right>
        <color indexed="63"/>
      </right>
      <top style="thin"/>
      <bottom style="medium"/>
    </border>
    <border>
      <left style="medium"/>
      <right style="thin"/>
      <top>
        <color indexed="63"/>
      </top>
      <bottom>
        <color indexed="63"/>
      </bottom>
    </border>
    <border>
      <left style="thin"/>
      <right style="medium"/>
      <top>
        <color indexed="63"/>
      </top>
      <bottom>
        <color indexed="63"/>
      </bottom>
    </border>
    <border>
      <left style="thick"/>
      <right>
        <color indexed="63"/>
      </right>
      <top style="hair"/>
      <bottom style="hair"/>
    </border>
    <border>
      <left>
        <color indexed="63"/>
      </left>
      <right>
        <color indexed="63"/>
      </right>
      <top style="hair"/>
      <bottom style="hair"/>
    </border>
    <border>
      <left style="medium"/>
      <right style="thin"/>
      <top style="hair"/>
      <bottom style="hair"/>
    </border>
    <border>
      <left style="thin"/>
      <right style="medium"/>
      <top style="hair"/>
      <bottom style="hair"/>
    </border>
    <border>
      <left style="thin"/>
      <right>
        <color indexed="63"/>
      </right>
      <top style="hair"/>
      <bottom style="hair"/>
    </border>
    <border>
      <left style="medium"/>
      <right>
        <color indexed="63"/>
      </right>
      <top style="hair"/>
      <bottom style="hair"/>
    </border>
    <border>
      <left style="thin"/>
      <right style="thick"/>
      <top style="hair"/>
      <bottom style="hair"/>
    </border>
    <border>
      <left>
        <color indexed="63"/>
      </left>
      <right style="medium"/>
      <top style="hair"/>
      <bottom style="hair"/>
    </border>
    <border>
      <left>
        <color indexed="63"/>
      </left>
      <right style="thin"/>
      <top style="hair"/>
      <bottom style="hair"/>
    </border>
    <border>
      <left style="medium"/>
      <right style="thin"/>
      <top style="hair"/>
      <bottom>
        <color indexed="63"/>
      </bottom>
    </border>
    <border>
      <left style="thin"/>
      <right style="medium"/>
      <top style="hair"/>
      <bottom>
        <color indexed="63"/>
      </bottom>
    </border>
    <border>
      <left>
        <color indexed="63"/>
      </left>
      <right style="thin"/>
      <top style="hair"/>
      <bottom style="thin"/>
    </border>
    <border>
      <left style="thin"/>
      <right>
        <color indexed="63"/>
      </right>
      <top style="hair"/>
      <bottom>
        <color indexed="63"/>
      </bottom>
    </border>
    <border>
      <left style="medium"/>
      <right>
        <color indexed="63"/>
      </right>
      <top style="hair"/>
      <bottom>
        <color indexed="63"/>
      </bottom>
    </border>
    <border>
      <left style="thin"/>
      <right style="thick"/>
      <top style="hair"/>
      <bottom>
        <color indexed="63"/>
      </bottom>
    </border>
    <border>
      <left style="medium"/>
      <right>
        <color indexed="63"/>
      </right>
      <top style="thin"/>
      <bottom style="medium"/>
    </border>
    <border>
      <left style="thin"/>
      <right style="thick"/>
      <top style="thin"/>
      <bottom style="medium"/>
    </border>
    <border>
      <left style="medium"/>
      <right style="thin"/>
      <top>
        <color indexed="63"/>
      </top>
      <bottom style="hair"/>
    </border>
    <border>
      <left style="thin"/>
      <right style="medium"/>
      <top>
        <color indexed="63"/>
      </top>
      <bottom style="hair"/>
    </border>
    <border>
      <left>
        <color indexed="63"/>
      </left>
      <right>
        <color indexed="63"/>
      </right>
      <top>
        <color indexed="63"/>
      </top>
      <bottom style="hair"/>
    </border>
    <border>
      <left style="medium"/>
      <right>
        <color indexed="63"/>
      </right>
      <top>
        <color indexed="63"/>
      </top>
      <bottom style="hair"/>
    </border>
    <border>
      <left style="thin"/>
      <right style="thick"/>
      <top>
        <color indexed="63"/>
      </top>
      <bottom style="hair"/>
    </border>
    <border>
      <left>
        <color indexed="63"/>
      </left>
      <right>
        <color indexed="63"/>
      </right>
      <top style="hair"/>
      <bottom>
        <color indexed="63"/>
      </bottom>
    </border>
    <border>
      <left style="thick"/>
      <right>
        <color indexed="63"/>
      </right>
      <top style="hair"/>
      <bottom>
        <color indexed="63"/>
      </bottom>
    </border>
    <border>
      <left>
        <color indexed="63"/>
      </left>
      <right style="thin"/>
      <top style="hair"/>
      <bottom>
        <color indexed="63"/>
      </bottom>
    </border>
    <border>
      <left style="thick"/>
      <right>
        <color indexed="63"/>
      </right>
      <top style="hair"/>
      <bottom style="thick"/>
    </border>
    <border>
      <left>
        <color indexed="63"/>
      </left>
      <right>
        <color indexed="63"/>
      </right>
      <top style="hair"/>
      <bottom style="thick"/>
    </border>
    <border>
      <left style="thin"/>
      <right style="medium"/>
      <top style="hair"/>
      <bottom style="thick"/>
    </border>
    <border>
      <left>
        <color indexed="63"/>
      </left>
      <right style="thin"/>
      <top style="hair"/>
      <bottom style="thick"/>
    </border>
    <border>
      <left style="thin"/>
      <right>
        <color indexed="63"/>
      </right>
      <top style="hair"/>
      <bottom style="thick"/>
    </border>
    <border>
      <left style="medium"/>
      <right>
        <color indexed="63"/>
      </right>
      <top style="hair"/>
      <bottom style="thick"/>
    </border>
    <border>
      <left style="thin"/>
      <right style="thick"/>
      <top style="hair"/>
      <bottom style="thick"/>
    </border>
    <border>
      <left style="thick"/>
      <right>
        <color indexed="63"/>
      </right>
      <top style="thick"/>
      <bottom style="hair"/>
    </border>
    <border>
      <left>
        <color indexed="63"/>
      </left>
      <right>
        <color indexed="63"/>
      </right>
      <top style="thick"/>
      <bottom style="hair"/>
    </border>
    <border>
      <left style="thin"/>
      <right style="medium"/>
      <top style="thick"/>
      <bottom style="hair"/>
    </border>
    <border>
      <left>
        <color indexed="63"/>
      </left>
      <right style="thin"/>
      <top style="thick"/>
      <bottom style="hair"/>
    </border>
    <border>
      <left style="thin"/>
      <right>
        <color indexed="63"/>
      </right>
      <top style="thick"/>
      <bottom style="hair"/>
    </border>
    <border>
      <left style="medium"/>
      <right>
        <color indexed="63"/>
      </right>
      <top style="thick"/>
      <bottom style="hair"/>
    </border>
    <border>
      <left style="thin"/>
      <right style="thick"/>
      <top style="thick"/>
      <bottom style="hair"/>
    </border>
    <border>
      <left style="thick"/>
      <right>
        <color indexed="63"/>
      </right>
      <top style="medium"/>
      <bottom style="thin"/>
    </border>
    <border>
      <left>
        <color indexed="63"/>
      </left>
      <right style="thin"/>
      <top style="medium"/>
      <bottom style="thin"/>
    </border>
    <border>
      <left style="thin"/>
      <right style="thin"/>
      <top style="medium"/>
      <bottom style="thin"/>
    </border>
    <border>
      <left style="thin"/>
      <right style="thick"/>
      <top style="medium"/>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style="hair"/>
    </border>
    <border>
      <left style="thin"/>
      <right>
        <color indexed="63"/>
      </right>
      <top>
        <color indexed="63"/>
      </top>
      <bottom style="hair"/>
    </border>
    <border>
      <left style="medium"/>
      <right style="thin"/>
      <top style="hair"/>
      <bottom style="thick"/>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ck"/>
    </border>
    <border>
      <left style="thin"/>
      <right style="medium"/>
      <top>
        <color indexed="63"/>
      </top>
      <bottom style="thick"/>
    </border>
    <border>
      <left>
        <color indexed="63"/>
      </left>
      <right style="thin"/>
      <top>
        <color indexed="63"/>
      </top>
      <bottom style="thick"/>
    </border>
    <border>
      <left style="thin"/>
      <right>
        <color indexed="63"/>
      </right>
      <top>
        <color indexed="63"/>
      </top>
      <bottom style="thick"/>
    </border>
    <border>
      <left style="medium"/>
      <right>
        <color indexed="63"/>
      </right>
      <top>
        <color indexed="63"/>
      </top>
      <bottom style="thick"/>
    </border>
    <border>
      <left style="thin"/>
      <right style="thick"/>
      <top>
        <color indexed="63"/>
      </top>
      <bottom style="thick"/>
    </border>
    <border>
      <left style="medium"/>
      <right>
        <color indexed="63"/>
      </right>
      <top style="thick"/>
      <bottom style="medium"/>
    </border>
    <border>
      <left style="hair"/>
      <right style="hair"/>
      <top style="thick"/>
      <bottom style="medium"/>
    </border>
    <border>
      <left>
        <color indexed="63"/>
      </left>
      <right style="medium"/>
      <top style="thick"/>
      <bottom style="medium"/>
    </border>
    <border>
      <left style="thin"/>
      <right style="thick"/>
      <top style="thick"/>
      <bottom style="medium"/>
    </border>
    <border>
      <left style="hair"/>
      <right style="hair"/>
      <top style="thin"/>
      <bottom style="medium"/>
    </border>
    <border>
      <left style="thick"/>
      <right>
        <color indexed="63"/>
      </right>
      <top>
        <color indexed="63"/>
      </top>
      <bottom>
        <color indexed="63"/>
      </bottom>
    </border>
    <border>
      <left style="hair"/>
      <right style="hair"/>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style="hair"/>
      <bottom style="thick"/>
    </border>
    <border>
      <left style="medium"/>
      <right style="thin"/>
      <top style="thick"/>
      <bottom style="hair"/>
    </border>
    <border>
      <left style="hair"/>
      <right style="hair"/>
      <top style="thick"/>
      <bottom style="hair"/>
    </border>
    <border>
      <left style="hair"/>
      <right style="hair"/>
      <top>
        <color indexed="63"/>
      </top>
      <bottom style="thick"/>
    </border>
    <border>
      <left>
        <color indexed="63"/>
      </left>
      <right style="thin"/>
      <top style="thin"/>
      <bottom style="double"/>
    </border>
    <border>
      <left style="medium"/>
      <right style="thin"/>
      <top style="double"/>
      <bottom style="thin"/>
    </border>
    <border>
      <left style="thin"/>
      <right style="double"/>
      <top style="double"/>
      <bottom style="thin"/>
    </border>
    <border>
      <left>
        <color indexed="63"/>
      </left>
      <right style="thin"/>
      <top style="double"/>
      <bottom style="thin"/>
    </border>
    <border>
      <left style="thin"/>
      <right style="double"/>
      <top style="thin"/>
      <bottom style="thin"/>
    </border>
    <border>
      <left style="medium"/>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color indexed="63"/>
      </left>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thin"/>
      <top>
        <color indexed="63"/>
      </top>
      <bottom style="medium"/>
    </border>
    <border>
      <left style="medium"/>
      <right style="thin"/>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thin"/>
      <bottom style="thin"/>
    </border>
    <border>
      <left style="thick"/>
      <right>
        <color indexed="63"/>
      </right>
      <top style="thin"/>
      <bottom style="medium"/>
    </border>
    <border>
      <left style="thick"/>
      <right>
        <color indexed="63"/>
      </right>
      <top style="thick"/>
      <bottom style="medium"/>
    </border>
    <border>
      <left style="medium"/>
      <right style="thin"/>
      <top style="thin"/>
      <bottom style="double"/>
    </border>
    <border>
      <left>
        <color indexed="63"/>
      </left>
      <right style="double"/>
      <top style="medium"/>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
      <left>
        <color indexed="63"/>
      </left>
      <right style="double"/>
      <top style="thin"/>
      <bottom style="thin"/>
    </border>
    <border>
      <left>
        <color indexed="63"/>
      </left>
      <right style="double"/>
      <top>
        <color indexed="63"/>
      </top>
      <bottom style="thin"/>
    </border>
    <border>
      <left>
        <color indexed="63"/>
      </left>
      <right style="double"/>
      <top style="thin"/>
      <bottom style="medium"/>
    </border>
    <border>
      <left style="thin"/>
      <right>
        <color indexed="63"/>
      </right>
      <top style="thin"/>
      <bottom>
        <color indexed="63"/>
      </bottom>
    </border>
    <border diagonalUp="1">
      <left style="thin"/>
      <right style="thin"/>
      <top style="thin"/>
      <bottom style="thin"/>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color indexed="63"/>
      </bottom>
    </border>
    <border>
      <left style="medium"/>
      <right>
        <color indexed="63"/>
      </right>
      <top style="medium"/>
      <bottom>
        <color indexed="63"/>
      </botto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83">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10" xfId="0" applyFont="1" applyFill="1" applyBorder="1" applyAlignment="1">
      <alignment horizontal="center" vertical="center" wrapText="1"/>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8" fillId="0" borderId="10" xfId="0" applyFont="1" applyBorder="1" applyAlignment="1">
      <alignment/>
    </xf>
    <xf numFmtId="0" fontId="2" fillId="0" borderId="0" xfId="0" applyFont="1" applyBorder="1" applyAlignment="1">
      <alignment/>
    </xf>
    <xf numFmtId="0" fontId="8" fillId="0" borderId="11" xfId="0" applyFont="1" applyBorder="1" applyAlignment="1">
      <alignment/>
    </xf>
    <xf numFmtId="0" fontId="1" fillId="0" borderId="11"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10" xfId="0" applyFont="1" applyBorder="1" applyAlignment="1">
      <alignment horizontal="left" vertical="center" wrapText="1"/>
    </xf>
    <xf numFmtId="0" fontId="1" fillId="0" borderId="0" xfId="0" applyFont="1" applyBorder="1" applyAlignment="1">
      <alignment horizontal="center"/>
    </xf>
    <xf numFmtId="0" fontId="2" fillId="0" borderId="0" xfId="0" applyFont="1" applyBorder="1" applyAlignment="1">
      <alignment horizontal="right"/>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49" fontId="2" fillId="0" borderId="10" xfId="0" applyNumberFormat="1" applyFont="1" applyBorder="1" applyAlignment="1">
      <alignment horizontal="center" vertical="center"/>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horizontal="center" vertical="center"/>
    </xf>
    <xf numFmtId="0" fontId="5" fillId="0" borderId="0" xfId="0" applyFont="1" applyAlignment="1">
      <alignment/>
    </xf>
    <xf numFmtId="0" fontId="10" fillId="0" borderId="0" xfId="0" applyFont="1" applyAlignment="1">
      <alignment/>
    </xf>
    <xf numFmtId="0" fontId="4" fillId="0" borderId="10" xfId="0" applyFont="1" applyBorder="1" applyAlignment="1">
      <alignment horizontal="center" vertical="center" wrapText="1"/>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49" fontId="1" fillId="0" borderId="0" xfId="0" applyNumberFormat="1" applyFont="1" applyAlignment="1">
      <alignment/>
    </xf>
    <xf numFmtId="49" fontId="2" fillId="0" borderId="0" xfId="0" applyNumberFormat="1" applyFont="1" applyAlignment="1">
      <alignment/>
    </xf>
    <xf numFmtId="0" fontId="12" fillId="0" borderId="0" xfId="0" applyFont="1" applyAlignment="1">
      <alignment/>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0" xfId="0" applyFont="1" applyBorder="1" applyAlignment="1">
      <alignment horizontal="left" vertical="center" wrapText="1"/>
    </xf>
    <xf numFmtId="0" fontId="13" fillId="0" borderId="10" xfId="0" applyFont="1" applyBorder="1" applyAlignment="1">
      <alignment/>
    </xf>
    <xf numFmtId="0" fontId="13" fillId="0" borderId="0" xfId="0" applyFont="1" applyAlignment="1">
      <alignment/>
    </xf>
    <xf numFmtId="0" fontId="13" fillId="0" borderId="10" xfId="0" applyFont="1" applyBorder="1" applyAlignment="1">
      <alignment horizontal="center"/>
    </xf>
    <xf numFmtId="0" fontId="13" fillId="0" borderId="0" xfId="0" applyFont="1" applyBorder="1" applyAlignment="1">
      <alignment/>
    </xf>
    <xf numFmtId="0" fontId="13" fillId="0" borderId="0" xfId="0" applyFont="1" applyAlignment="1">
      <alignment/>
    </xf>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5" fillId="0" borderId="0" xfId="0" applyFont="1" applyAlignment="1">
      <alignment/>
    </xf>
    <xf numFmtId="0" fontId="13" fillId="0" borderId="15" xfId="0" applyFont="1" applyBorder="1" applyAlignment="1">
      <alignment horizontal="center" vertical="center" wrapText="1"/>
    </xf>
    <xf numFmtId="49" fontId="13" fillId="32" borderId="10" xfId="58" applyNumberFormat="1" applyFont="1" applyFill="1" applyBorder="1" applyAlignment="1">
      <alignment horizontal="center"/>
      <protection/>
    </xf>
    <xf numFmtId="0" fontId="13" fillId="32" borderId="10" xfId="58" applyFont="1" applyFill="1" applyBorder="1" applyAlignment="1">
      <alignment horizontal="left" vertical="center" wrapText="1"/>
      <protection/>
    </xf>
    <xf numFmtId="49" fontId="13" fillId="32" borderId="10" xfId="58" applyNumberFormat="1" applyFont="1" applyFill="1" applyBorder="1" applyAlignment="1">
      <alignment horizontal="center" vertical="center" wrapText="1"/>
      <protection/>
    </xf>
    <xf numFmtId="0" fontId="13" fillId="32" borderId="10" xfId="58" applyFont="1" applyFill="1" applyBorder="1" applyAlignment="1">
      <alignment/>
      <protection/>
    </xf>
    <xf numFmtId="0" fontId="13" fillId="32" borderId="10" xfId="58" applyFont="1" applyFill="1" applyBorder="1" applyAlignment="1">
      <alignment horizontal="left" wrapText="1"/>
      <protection/>
    </xf>
    <xf numFmtId="0" fontId="13" fillId="32" borderId="10" xfId="58" applyFont="1" applyFill="1" applyBorder="1" applyAlignment="1">
      <alignment horizontal="left"/>
      <protection/>
    </xf>
    <xf numFmtId="0" fontId="13" fillId="0" borderId="0" xfId="0" applyFont="1" applyBorder="1" applyAlignment="1">
      <alignment vertical="center"/>
    </xf>
    <xf numFmtId="0" fontId="13" fillId="32" borderId="10" xfId="58" applyFont="1" applyFill="1" applyBorder="1" applyAlignment="1">
      <alignment wrapText="1"/>
      <protection/>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0" xfId="0" applyFont="1" applyBorder="1" applyAlignment="1">
      <alignment horizontal="left" vertical="center"/>
    </xf>
    <xf numFmtId="0" fontId="13" fillId="0" borderId="10" xfId="0" applyFont="1" applyBorder="1" applyAlignment="1">
      <alignment horizontal="left" vertical="center"/>
    </xf>
    <xf numFmtId="0" fontId="5" fillId="0" borderId="0" xfId="0" applyFont="1" applyBorder="1" applyAlignment="1">
      <alignment/>
    </xf>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3" fillId="0" borderId="0" xfId="0" applyFont="1" applyAlignment="1">
      <alignment/>
    </xf>
    <xf numFmtId="2" fontId="13" fillId="0" borderId="0" xfId="0" applyNumberFormat="1" applyFont="1" applyAlignment="1">
      <alignment horizontal="center" vertical="center" wrapText="1"/>
    </xf>
    <xf numFmtId="49" fontId="13" fillId="0" borderId="10" xfId="0" applyNumberFormat="1" applyFont="1" applyBorder="1" applyAlignment="1">
      <alignment horizontal="center" vertical="center"/>
    </xf>
    <xf numFmtId="0" fontId="13" fillId="0" borderId="10" xfId="0" applyFont="1" applyBorder="1" applyAlignment="1">
      <alignment horizontal="left" vertical="center" wrapText="1"/>
    </xf>
    <xf numFmtId="0" fontId="13" fillId="0" borderId="0" xfId="0" applyFont="1" applyAlignment="1">
      <alignment horizontal="center"/>
    </xf>
    <xf numFmtId="0" fontId="13" fillId="0" borderId="0" xfId="0" applyFont="1" applyAlignment="1">
      <alignment/>
    </xf>
    <xf numFmtId="0" fontId="13" fillId="0" borderId="0" xfId="0" applyFont="1" applyAlignment="1">
      <alignment horizontal="left"/>
    </xf>
    <xf numFmtId="0" fontId="5" fillId="0" borderId="10" xfId="0" applyFont="1" applyFill="1" applyBorder="1" applyAlignment="1">
      <alignment horizontal="center" vertical="center" wrapText="1"/>
    </xf>
    <xf numFmtId="0" fontId="13" fillId="0" borderId="0" xfId="0" applyFont="1" applyAlignment="1">
      <alignment horizontal="center" vertical="center" wrapText="1"/>
    </xf>
    <xf numFmtId="0" fontId="1" fillId="0" borderId="0" xfId="0" applyFont="1" applyFill="1" applyBorder="1" applyAlignment="1">
      <alignment/>
    </xf>
    <xf numFmtId="0" fontId="1" fillId="0" borderId="13" xfId="0" applyFont="1" applyFill="1" applyBorder="1" applyAlignment="1">
      <alignment horizontal="center" wrapText="1"/>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2" fillId="0" borderId="13" xfId="0" applyFont="1" applyFill="1" applyBorder="1" applyAlignment="1">
      <alignment horizontal="center" wrapText="1"/>
    </xf>
    <xf numFmtId="0" fontId="2" fillId="0" borderId="10" xfId="0" applyFont="1" applyFill="1" applyBorder="1" applyAlignment="1">
      <alignment wrapText="1"/>
    </xf>
    <xf numFmtId="0" fontId="2" fillId="0" borderId="10" xfId="0" applyFont="1" applyFill="1" applyBorder="1" applyAlignment="1">
      <alignment horizontal="center" wrapText="1"/>
    </xf>
    <xf numFmtId="0" fontId="2" fillId="0" borderId="13" xfId="0" applyFont="1" applyFill="1" applyBorder="1" applyAlignment="1">
      <alignment wrapText="1"/>
    </xf>
    <xf numFmtId="0" fontId="2" fillId="0" borderId="10" xfId="0" applyFont="1" applyFill="1" applyBorder="1" applyAlignment="1">
      <alignment horizontal="left" wrapText="1"/>
    </xf>
    <xf numFmtId="0" fontId="1" fillId="0" borderId="10" xfId="0" applyFont="1" applyFill="1" applyBorder="1" applyAlignment="1">
      <alignment horizontal="left" wrapText="1"/>
    </xf>
    <xf numFmtId="0" fontId="2" fillId="0" borderId="15" xfId="0" applyFont="1" applyFill="1" applyBorder="1" applyAlignment="1">
      <alignment wrapText="1"/>
    </xf>
    <xf numFmtId="0" fontId="2" fillId="0" borderId="16" xfId="0" applyFont="1" applyFill="1" applyBorder="1" applyAlignment="1">
      <alignment horizontal="left" wrapText="1"/>
    </xf>
    <xf numFmtId="0" fontId="2" fillId="0" borderId="16" xfId="0" applyFont="1" applyFill="1" applyBorder="1" applyAlignment="1">
      <alignment horizont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3" fillId="0" borderId="10" xfId="0" applyFont="1" applyFill="1" applyBorder="1" applyAlignment="1">
      <alignment horizontal="center" vertical="center"/>
    </xf>
    <xf numFmtId="0" fontId="5" fillId="0" borderId="10" xfId="0" applyFont="1" applyFill="1" applyBorder="1" applyAlignment="1">
      <alignment vertical="center"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0" fontId="13" fillId="0" borderId="10" xfId="0" applyFont="1" applyFill="1" applyBorder="1" applyAlignment="1">
      <alignment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vertical="center" wrapText="1"/>
    </xf>
    <xf numFmtId="49" fontId="13" fillId="0" borderId="16" xfId="0" applyNumberFormat="1" applyFont="1" applyFill="1" applyBorder="1" applyAlignment="1">
      <alignment horizontal="center" vertical="center"/>
    </xf>
    <xf numFmtId="0" fontId="67" fillId="0" borderId="13" xfId="0" applyFont="1" applyBorder="1" applyAlignment="1">
      <alignment vertical="center" wrapText="1"/>
    </xf>
    <xf numFmtId="0" fontId="68" fillId="0" borderId="10" xfId="0" applyFont="1" applyBorder="1" applyAlignment="1">
      <alignment horizontal="center" vertical="center" wrapText="1"/>
    </xf>
    <xf numFmtId="0" fontId="68" fillId="0" borderId="13" xfId="0" applyFont="1" applyBorder="1" applyAlignment="1">
      <alignment vertical="center" wrapText="1"/>
    </xf>
    <xf numFmtId="0" fontId="0" fillId="0" borderId="0" xfId="0" applyAlignment="1">
      <alignment horizontal="center"/>
    </xf>
    <xf numFmtId="0" fontId="2" fillId="0" borderId="10" xfId="0" applyFont="1" applyFill="1" applyBorder="1" applyAlignment="1">
      <alignment vertical="center" wrapText="1"/>
    </xf>
    <xf numFmtId="4" fontId="2" fillId="0" borderId="10" xfId="0" applyNumberFormat="1" applyFont="1" applyFill="1" applyBorder="1" applyAlignment="1">
      <alignment vertical="center"/>
    </xf>
    <xf numFmtId="3" fontId="17" fillId="0" borderId="17" xfId="0" applyNumberFormat="1" applyFont="1" applyBorder="1" applyAlignment="1">
      <alignment horizontal="center" vertical="center"/>
    </xf>
    <xf numFmtId="3" fontId="17" fillId="0" borderId="18" xfId="0" applyNumberFormat="1" applyFont="1" applyBorder="1" applyAlignment="1">
      <alignment horizontal="center" vertical="center"/>
    </xf>
    <xf numFmtId="3" fontId="0" fillId="0" borderId="19" xfId="0" applyNumberFormat="1" applyBorder="1" applyAlignment="1">
      <alignment horizontal="right" vertical="center"/>
    </xf>
    <xf numFmtId="3" fontId="0" fillId="0" borderId="20" xfId="0" applyNumberFormat="1" applyBorder="1" applyAlignment="1">
      <alignment horizontal="right" vertical="center"/>
    </xf>
    <xf numFmtId="3" fontId="0" fillId="0" borderId="10" xfId="0" applyNumberFormat="1" applyBorder="1" applyAlignment="1">
      <alignment horizontal="right" vertical="center"/>
    </xf>
    <xf numFmtId="3" fontId="0" fillId="0" borderId="14" xfId="0" applyNumberFormat="1" applyBorder="1" applyAlignment="1">
      <alignment horizontal="right" vertical="center"/>
    </xf>
    <xf numFmtId="3" fontId="0" fillId="0" borderId="11" xfId="0" applyNumberFormat="1" applyBorder="1" applyAlignment="1">
      <alignment horizontal="right" vertical="center"/>
    </xf>
    <xf numFmtId="3" fontId="0" fillId="0" borderId="21" xfId="0" applyNumberFormat="1" applyBorder="1" applyAlignment="1">
      <alignment horizontal="right" vertical="center"/>
    </xf>
    <xf numFmtId="3" fontId="0" fillId="0" borderId="16" xfId="0" applyNumberFormat="1" applyBorder="1" applyAlignment="1">
      <alignment horizontal="right" vertical="center"/>
    </xf>
    <xf numFmtId="3" fontId="0" fillId="0" borderId="22" xfId="0" applyNumberFormat="1" applyBorder="1" applyAlignment="1">
      <alignment horizontal="right" vertical="center"/>
    </xf>
    <xf numFmtId="0" fontId="2" fillId="0" borderId="10" xfId="0" applyFont="1" applyBorder="1" applyAlignment="1">
      <alignment horizontal="center"/>
    </xf>
    <xf numFmtId="184" fontId="2" fillId="0" borderId="10" xfId="44" applyNumberFormat="1" applyFont="1" applyBorder="1" applyAlignment="1">
      <alignment/>
    </xf>
    <xf numFmtId="4" fontId="2"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xf>
    <xf numFmtId="3" fontId="2" fillId="0" borderId="0" xfId="0" applyNumberFormat="1" applyFont="1" applyAlignment="1">
      <alignment horizontal="center"/>
    </xf>
    <xf numFmtId="0" fontId="2" fillId="0" borderId="0" xfId="0" applyFont="1" applyAlignment="1">
      <alignment horizontal="center"/>
    </xf>
    <xf numFmtId="3" fontId="1" fillId="0" borderId="0" xfId="0" applyNumberFormat="1" applyFont="1" applyAlignment="1">
      <alignment horizontal="center"/>
    </xf>
    <xf numFmtId="3" fontId="13" fillId="0" borderId="10" xfId="0" applyNumberFormat="1" applyFont="1" applyBorder="1" applyAlignment="1">
      <alignment horizontal="center" vertical="center" wrapText="1"/>
    </xf>
    <xf numFmtId="3" fontId="13" fillId="0" borderId="10" xfId="0" applyNumberFormat="1" applyFont="1" applyBorder="1" applyAlignment="1">
      <alignment horizontal="center"/>
    </xf>
    <xf numFmtId="3" fontId="13" fillId="0" borderId="10" xfId="0" applyNumberFormat="1" applyFont="1" applyFill="1" applyBorder="1" applyAlignment="1">
      <alignment horizontal="center" vertical="center" wrapText="1"/>
    </xf>
    <xf numFmtId="3" fontId="13"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0" xfId="0" applyNumberFormat="1" applyFont="1" applyBorder="1" applyAlignment="1">
      <alignment horizontal="center"/>
    </xf>
    <xf numFmtId="0" fontId="2" fillId="0" borderId="0" xfId="0" applyFont="1" applyBorder="1" applyAlignment="1">
      <alignment horizontal="center"/>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3" fillId="0" borderId="10" xfId="0" applyNumberFormat="1" applyFont="1" applyBorder="1" applyAlignment="1">
      <alignment horizontal="center" wrapText="1"/>
    </xf>
    <xf numFmtId="0" fontId="13" fillId="0" borderId="0" xfId="0" applyFont="1" applyBorder="1" applyAlignment="1">
      <alignment/>
    </xf>
    <xf numFmtId="3" fontId="13" fillId="0" borderId="14" xfId="0" applyNumberFormat="1" applyFont="1" applyBorder="1" applyAlignment="1">
      <alignment horizontal="center" wrapText="1"/>
    </xf>
    <xf numFmtId="3" fontId="13" fillId="0" borderId="14" xfId="0" applyNumberFormat="1" applyFont="1" applyBorder="1" applyAlignment="1">
      <alignment horizontal="center" vertical="center" wrapText="1"/>
    </xf>
    <xf numFmtId="3" fontId="13" fillId="0" borderId="14" xfId="0" applyNumberFormat="1" applyFont="1" applyBorder="1" applyAlignment="1">
      <alignment horizontal="center"/>
    </xf>
    <xf numFmtId="3" fontId="13" fillId="0" borderId="23" xfId="0" applyNumberFormat="1" applyFont="1" applyBorder="1" applyAlignment="1">
      <alignment horizontal="center"/>
    </xf>
    <xf numFmtId="3" fontId="2" fillId="0" borderId="10" xfId="0" applyNumberFormat="1" applyFont="1" applyBorder="1" applyAlignment="1">
      <alignment horizontal="center"/>
    </xf>
    <xf numFmtId="3" fontId="2" fillId="0" borderId="14" xfId="0" applyNumberFormat="1" applyFont="1" applyBorder="1" applyAlignment="1">
      <alignment horizontal="center"/>
    </xf>
    <xf numFmtId="3" fontId="2" fillId="0" borderId="16" xfId="0" applyNumberFormat="1" applyFont="1" applyBorder="1" applyAlignment="1">
      <alignment horizontal="center"/>
    </xf>
    <xf numFmtId="3" fontId="2" fillId="0" borderId="22" xfId="0" applyNumberFormat="1" applyFont="1" applyBorder="1" applyAlignment="1">
      <alignment horizontal="center"/>
    </xf>
    <xf numFmtId="3" fontId="2" fillId="0" borderId="10" xfId="0" applyNumberFormat="1" applyFont="1" applyFill="1" applyBorder="1" applyAlignment="1">
      <alignment horizontal="center" wrapText="1"/>
    </xf>
    <xf numFmtId="3" fontId="2" fillId="0" borderId="10" xfId="0" applyNumberFormat="1" applyFont="1" applyFill="1" applyBorder="1" applyAlignment="1">
      <alignment horizontal="center" vertical="center" wrapText="1"/>
    </xf>
    <xf numFmtId="3" fontId="1" fillId="0" borderId="10" xfId="0" applyNumberFormat="1" applyFont="1" applyBorder="1" applyAlignment="1">
      <alignment horizontal="center"/>
    </xf>
    <xf numFmtId="3" fontId="2" fillId="0" borderId="10" xfId="0" applyNumberFormat="1" applyFont="1" applyFill="1" applyBorder="1" applyAlignment="1">
      <alignment horizontal="center" wrapText="1"/>
    </xf>
    <xf numFmtId="3" fontId="2"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xf>
    <xf numFmtId="3" fontId="2" fillId="0" borderId="0" xfId="0" applyNumberFormat="1" applyFont="1" applyBorder="1" applyAlignment="1">
      <alignment horizontal="center"/>
    </xf>
    <xf numFmtId="3" fontId="2" fillId="0" borderId="16" xfId="0" applyNumberFormat="1" applyFont="1" applyBorder="1" applyAlignment="1">
      <alignment horizontal="center"/>
    </xf>
    <xf numFmtId="3" fontId="2" fillId="0" borderId="10" xfId="0" applyNumberFormat="1" applyFont="1" applyFill="1" applyBorder="1" applyAlignment="1" quotePrefix="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xf>
    <xf numFmtId="3" fontId="2" fillId="0" borderId="10" xfId="0" applyNumberFormat="1" applyFont="1" applyBorder="1" applyAlignment="1">
      <alignment horizontal="center" vertical="top"/>
    </xf>
    <xf numFmtId="3" fontId="1" fillId="0" borderId="10" xfId="0" applyNumberFormat="1" applyFont="1" applyFill="1" applyBorder="1" applyAlignment="1">
      <alignment horizontal="center"/>
    </xf>
    <xf numFmtId="3" fontId="2" fillId="0" borderId="0" xfId="0" applyNumberFormat="1" applyFont="1" applyAlignment="1">
      <alignment/>
    </xf>
    <xf numFmtId="3" fontId="1" fillId="0" borderId="10" xfId="0" applyNumberFormat="1" applyFont="1" applyFill="1" applyBorder="1" applyAlignment="1">
      <alignment horizontal="center" wrapText="1"/>
    </xf>
    <xf numFmtId="3" fontId="2" fillId="0" borderId="10" xfId="0" applyNumberFormat="1" applyFont="1" applyBorder="1" applyAlignment="1">
      <alignment horizontal="center" vertical="center"/>
    </xf>
    <xf numFmtId="0" fontId="2" fillId="0" borderId="0" xfId="0" applyFont="1" applyAlignment="1">
      <alignment horizontal="center" vertical="center"/>
    </xf>
    <xf numFmtId="3" fontId="2" fillId="0" borderId="0" xfId="0" applyNumberFormat="1" applyFont="1" applyFill="1" applyAlignment="1">
      <alignment horizontal="center" vertical="center"/>
    </xf>
    <xf numFmtId="3" fontId="2" fillId="0" borderId="10" xfId="0" applyNumberFormat="1" applyFont="1" applyFill="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3" fontId="2" fillId="0" borderId="16" xfId="0" applyNumberFormat="1" applyFont="1" applyBorder="1" applyAlignment="1">
      <alignment horizontal="center" vertical="center"/>
    </xf>
    <xf numFmtId="0" fontId="9" fillId="0" borderId="0" xfId="0" applyFont="1" applyBorder="1" applyAlignment="1">
      <alignment/>
    </xf>
    <xf numFmtId="3" fontId="2" fillId="0" borderId="0" xfId="0" applyNumberFormat="1" applyFont="1" applyAlignment="1">
      <alignment vertical="center"/>
    </xf>
    <xf numFmtId="0" fontId="5" fillId="33" borderId="10" xfId="0" applyFont="1" applyFill="1" applyBorder="1" applyAlignment="1">
      <alignment vertical="center" wrapText="1"/>
    </xf>
    <xf numFmtId="49" fontId="13"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3" fontId="5" fillId="0" borderId="10" xfId="0" applyNumberFormat="1" applyFont="1" applyBorder="1" applyAlignment="1">
      <alignment horizontal="center" vertical="center" wrapText="1"/>
    </xf>
    <xf numFmtId="3" fontId="0" fillId="0" borderId="10" xfId="0" applyNumberFormat="1" applyBorder="1" applyAlignment="1">
      <alignment horizontal="center"/>
    </xf>
    <xf numFmtId="0" fontId="67" fillId="0" borderId="15" xfId="0" applyFont="1" applyBorder="1" applyAlignment="1">
      <alignment vertical="center" wrapText="1"/>
    </xf>
    <xf numFmtId="0" fontId="68" fillId="0" borderId="16" xfId="0" applyFont="1" applyBorder="1" applyAlignment="1">
      <alignment horizontal="center" vertical="center" wrapText="1"/>
    </xf>
    <xf numFmtId="0" fontId="67" fillId="0" borderId="13" xfId="0" applyFont="1" applyBorder="1" applyAlignment="1">
      <alignment vertical="center" wrapText="1"/>
    </xf>
    <xf numFmtId="0" fontId="67" fillId="0" borderId="10" xfId="0" applyFont="1" applyBorder="1" applyAlignment="1">
      <alignment horizontal="center" vertical="center" wrapText="1"/>
    </xf>
    <xf numFmtId="3" fontId="5" fillId="0" borderId="10" xfId="0" applyNumberFormat="1" applyFont="1" applyBorder="1" applyAlignment="1">
      <alignment horizontal="center" wrapText="1"/>
    </xf>
    <xf numFmtId="0" fontId="13" fillId="0" borderId="14" xfId="0" applyFont="1" applyBorder="1" applyAlignment="1">
      <alignment horizontal="center" wrapText="1"/>
    </xf>
    <xf numFmtId="0" fontId="0" fillId="0" borderId="0" xfId="0" applyFont="1" applyAlignment="1">
      <alignment/>
    </xf>
    <xf numFmtId="0" fontId="13" fillId="0" borderId="24" xfId="0" applyFont="1" applyBorder="1" applyAlignment="1">
      <alignment/>
    </xf>
    <xf numFmtId="0" fontId="13" fillId="0" borderId="24" xfId="0" applyFont="1" applyBorder="1" applyAlignment="1">
      <alignment horizontal="center" vertical="center"/>
    </xf>
    <xf numFmtId="0" fontId="1" fillId="0" borderId="10" xfId="0" applyFont="1" applyBorder="1" applyAlignment="1">
      <alignment horizontal="center" vertical="center"/>
    </xf>
    <xf numFmtId="3" fontId="0" fillId="0" borderId="0" xfId="0" applyNumberFormat="1" applyAlignment="1">
      <alignment horizontal="center"/>
    </xf>
    <xf numFmtId="3" fontId="10" fillId="0" borderId="0" xfId="0" applyNumberFormat="1" applyFont="1" applyAlignment="1">
      <alignment horizontal="center"/>
    </xf>
    <xf numFmtId="3" fontId="13" fillId="0" borderId="0" xfId="0" applyNumberFormat="1" applyFont="1" applyAlignment="1">
      <alignment horizontal="center"/>
    </xf>
    <xf numFmtId="3" fontId="2" fillId="0" borderId="0" xfId="0" applyNumberFormat="1" applyFont="1" applyAlignment="1">
      <alignment horizontal="center" vertical="center"/>
    </xf>
    <xf numFmtId="0" fontId="5" fillId="0" borderId="14" xfId="0" applyFont="1" applyBorder="1" applyAlignment="1">
      <alignment horizontal="center" wrapText="1"/>
    </xf>
    <xf numFmtId="0" fontId="5" fillId="0" borderId="13" xfId="0" applyFont="1" applyBorder="1" applyAlignment="1">
      <alignment horizontal="center" vertical="center" wrapText="1"/>
    </xf>
    <xf numFmtId="0" fontId="9" fillId="0" borderId="0" xfId="0" applyFont="1" applyAlignment="1">
      <alignment horizont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9"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1" fillId="0" borderId="15" xfId="0" applyFont="1" applyBorder="1" applyAlignment="1">
      <alignment horizontal="center" vertical="center"/>
    </xf>
    <xf numFmtId="0" fontId="2" fillId="0" borderId="22" xfId="0" applyFont="1" applyBorder="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center" vertical="center"/>
    </xf>
    <xf numFmtId="0" fontId="2" fillId="0" borderId="37" xfId="0" applyFont="1" applyBorder="1" applyAlignment="1">
      <alignment horizontal="center" vertical="center"/>
    </xf>
    <xf numFmtId="0" fontId="1" fillId="0" borderId="0" xfId="0" applyFont="1" applyBorder="1" applyAlignment="1">
      <alignment horizontal="left" vertical="center"/>
    </xf>
    <xf numFmtId="0" fontId="2" fillId="0" borderId="38" xfId="0" applyFont="1" applyBorder="1" applyAlignment="1">
      <alignment horizontal="right" vertical="center"/>
    </xf>
    <xf numFmtId="0" fontId="2" fillId="0" borderId="39" xfId="0" applyFont="1" applyBorder="1" applyAlignment="1" quotePrefix="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vertical="center"/>
    </xf>
    <xf numFmtId="4" fontId="2" fillId="0" borderId="42" xfId="0" applyNumberFormat="1" applyFont="1" applyFill="1" applyBorder="1" applyAlignment="1">
      <alignment horizontal="center" vertical="center"/>
    </xf>
    <xf numFmtId="4" fontId="2" fillId="0" borderId="43" xfId="0" applyNumberFormat="1" applyFont="1" applyBorder="1" applyAlignment="1">
      <alignment vertical="center"/>
    </xf>
    <xf numFmtId="4" fontId="2" fillId="0" borderId="44" xfId="0" applyNumberFormat="1" applyFont="1" applyBorder="1" applyAlignment="1">
      <alignment vertical="center"/>
    </xf>
    <xf numFmtId="4" fontId="2" fillId="0" borderId="42" xfId="0" applyNumberFormat="1" applyFont="1" applyBorder="1" applyAlignment="1">
      <alignment horizontal="center" vertical="center"/>
    </xf>
    <xf numFmtId="0" fontId="2" fillId="0" borderId="45" xfId="0" applyFont="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9" xfId="0" applyFont="1" applyFill="1" applyBorder="1" applyAlignment="1">
      <alignment vertical="center"/>
    </xf>
    <xf numFmtId="4"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2" fillId="0" borderId="46" xfId="0" applyFont="1" applyFill="1" applyBorder="1" applyAlignment="1">
      <alignment vertical="center"/>
    </xf>
    <xf numFmtId="0" fontId="2" fillId="0" borderId="0" xfId="0" applyFont="1" applyFill="1" applyBorder="1" applyAlignment="1" quotePrefix="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vertical="center"/>
    </xf>
    <xf numFmtId="4" fontId="2" fillId="0" borderId="50" xfId="0" applyNumberFormat="1" applyFont="1" applyBorder="1" applyAlignment="1">
      <alignment horizontal="center" vertical="center"/>
    </xf>
    <xf numFmtId="4" fontId="2" fillId="0" borderId="51" xfId="0" applyNumberFormat="1" applyFont="1" applyFill="1" applyBorder="1" applyAlignment="1">
      <alignment vertical="center"/>
    </xf>
    <xf numFmtId="4" fontId="2" fillId="0" borderId="52" xfId="0" applyNumberFormat="1" applyFont="1" applyFill="1" applyBorder="1" applyAlignment="1">
      <alignment vertical="center"/>
    </xf>
    <xf numFmtId="4" fontId="2" fillId="0" borderId="53" xfId="0" applyNumberFormat="1" applyFont="1" applyBorder="1" applyAlignment="1">
      <alignment vertical="center"/>
    </xf>
    <xf numFmtId="4" fontId="2" fillId="0" borderId="54" xfId="0" applyNumberFormat="1" applyFont="1" applyBorder="1" applyAlignment="1">
      <alignment vertical="center"/>
    </xf>
    <xf numFmtId="0" fontId="1" fillId="0" borderId="55" xfId="0" applyFont="1" applyBorder="1" applyAlignment="1">
      <alignment horizontal="center" vertical="center"/>
    </xf>
    <xf numFmtId="0" fontId="2" fillId="0" borderId="56" xfId="0" applyFont="1" applyBorder="1" applyAlignment="1">
      <alignment horizontal="center" vertical="center"/>
    </xf>
    <xf numFmtId="0" fontId="1" fillId="0" borderId="57" xfId="0" applyFont="1" applyBorder="1" applyAlignment="1">
      <alignment horizontal="left" vertical="center"/>
    </xf>
    <xf numFmtId="4" fontId="2" fillId="0" borderId="58" xfId="0" applyNumberFormat="1" applyFont="1" applyBorder="1" applyAlignment="1">
      <alignment vertical="center"/>
    </xf>
    <xf numFmtId="4" fontId="2" fillId="0" borderId="59" xfId="0" applyNumberFormat="1" applyFont="1" applyBorder="1" applyAlignment="1">
      <alignment vertical="center"/>
    </xf>
    <xf numFmtId="0" fontId="2" fillId="0" borderId="39" xfId="0" applyFont="1" applyBorder="1" applyAlignment="1">
      <alignment vertical="center" wrapText="1"/>
    </xf>
    <xf numFmtId="4" fontId="2" fillId="0" borderId="43" xfId="0" applyNumberFormat="1" applyFont="1" applyBorder="1" applyAlignment="1">
      <alignment horizontal="right" vertical="center"/>
    </xf>
    <xf numFmtId="4" fontId="2" fillId="0" borderId="44" xfId="0" applyNumberFormat="1" applyFont="1" applyBorder="1" applyAlignment="1">
      <alignment horizontal="right" vertical="center"/>
    </xf>
    <xf numFmtId="4" fontId="2" fillId="0" borderId="43" xfId="0" applyNumberFormat="1" applyFont="1" applyBorder="1" applyAlignment="1">
      <alignment horizontal="right" vertical="center" wrapText="1"/>
    </xf>
    <xf numFmtId="4" fontId="2" fillId="0" borderId="44" xfId="0" applyNumberFormat="1" applyFont="1" applyBorder="1" applyAlignment="1">
      <alignment horizontal="right" vertical="center" wrapText="1"/>
    </xf>
    <xf numFmtId="0" fontId="2" fillId="0" borderId="39" xfId="0" applyFont="1" applyFill="1" applyBorder="1" applyAlignment="1">
      <alignment vertical="center" wrapText="1"/>
    </xf>
    <xf numFmtId="0" fontId="2" fillId="0" borderId="60" xfId="0" applyFont="1" applyBorder="1" applyAlignment="1" quotePrefix="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60" xfId="0" applyFont="1" applyBorder="1" applyAlignment="1">
      <alignment vertical="center" wrapText="1"/>
    </xf>
    <xf numFmtId="4" fontId="2" fillId="0" borderId="50" xfId="0" applyNumberFormat="1" applyFont="1" applyFill="1" applyBorder="1" applyAlignment="1">
      <alignment horizontal="center" vertical="center"/>
    </xf>
    <xf numFmtId="4" fontId="2" fillId="0" borderId="51" xfId="0" applyNumberFormat="1" applyFont="1" applyBorder="1" applyAlignment="1">
      <alignment vertical="center"/>
    </xf>
    <xf numFmtId="4" fontId="2" fillId="0" borderId="52" xfId="0" applyNumberFormat="1" applyFont="1" applyBorder="1" applyAlignment="1">
      <alignment vertical="center"/>
    </xf>
    <xf numFmtId="0" fontId="1" fillId="0" borderId="15" xfId="0" applyFont="1" applyBorder="1" applyAlignment="1">
      <alignment horizontal="center" vertical="center"/>
    </xf>
    <xf numFmtId="0" fontId="1" fillId="0" borderId="55" xfId="0" applyFont="1" applyBorder="1" applyAlignment="1">
      <alignment horizontal="center" vertical="center"/>
    </xf>
    <xf numFmtId="0" fontId="2" fillId="0" borderId="61" xfId="0" applyFont="1" applyBorder="1" applyAlignment="1">
      <alignment horizontal="right" vertical="center"/>
    </xf>
    <xf numFmtId="0" fontId="2" fillId="0" borderId="60" xfId="0" applyFont="1" applyBorder="1" applyAlignment="1" quotePrefix="1">
      <alignment horizontal="center" vertical="center"/>
    </xf>
    <xf numFmtId="0" fontId="2" fillId="0" borderId="46" xfId="0" applyFont="1" applyBorder="1" applyAlignment="1">
      <alignment vertical="center" wrapText="1"/>
    </xf>
    <xf numFmtId="4" fontId="2" fillId="0" borderId="42" xfId="0" applyNumberFormat="1" applyFont="1" applyFill="1" applyBorder="1" applyAlignment="1">
      <alignment horizontal="center" vertical="center"/>
    </xf>
    <xf numFmtId="0" fontId="2" fillId="0" borderId="46" xfId="0" applyFont="1" applyFill="1" applyBorder="1" applyAlignment="1">
      <alignment vertical="center" wrapText="1"/>
    </xf>
    <xf numFmtId="0" fontId="2" fillId="0" borderId="62" xfId="0" applyFont="1" applyFill="1" applyBorder="1" applyAlignment="1">
      <alignment vertical="center" wrapText="1"/>
    </xf>
    <xf numFmtId="0" fontId="2" fillId="0" borderId="0" xfId="0" applyFont="1" applyBorder="1" applyAlignment="1" quotePrefix="1">
      <alignment horizontal="center" vertical="center"/>
    </xf>
    <xf numFmtId="0" fontId="2" fillId="0" borderId="63" xfId="0" applyFont="1" applyBorder="1" applyAlignment="1">
      <alignment horizontal="right" vertical="center"/>
    </xf>
    <xf numFmtId="0" fontId="2" fillId="0" borderId="64" xfId="0" applyFont="1" applyBorder="1" applyAlignment="1" quotePrefix="1">
      <alignment horizontal="left" vertical="center"/>
    </xf>
    <xf numFmtId="0" fontId="2" fillId="0" borderId="65" xfId="0" applyFont="1" applyFill="1" applyBorder="1" applyAlignment="1">
      <alignment horizontal="center" vertical="center"/>
    </xf>
    <xf numFmtId="0" fontId="2" fillId="0" borderId="66" xfId="0" applyFont="1" applyFill="1" applyBorder="1" applyAlignment="1">
      <alignment vertical="center" wrapText="1"/>
    </xf>
    <xf numFmtId="4" fontId="2" fillId="0" borderId="67" xfId="0" applyNumberFormat="1" applyFont="1" applyFill="1" applyBorder="1" applyAlignment="1">
      <alignment horizontal="center" vertical="center"/>
    </xf>
    <xf numFmtId="4" fontId="2" fillId="0" borderId="68" xfId="0" applyNumberFormat="1" applyFont="1" applyFill="1" applyBorder="1" applyAlignment="1">
      <alignment vertical="center"/>
    </xf>
    <xf numFmtId="4" fontId="2" fillId="0" borderId="69" xfId="0" applyNumberFormat="1" applyFont="1" applyFill="1" applyBorder="1" applyAlignment="1">
      <alignment vertical="center"/>
    </xf>
    <xf numFmtId="0" fontId="2" fillId="0" borderId="70" xfId="0" applyFont="1" applyBorder="1" applyAlignment="1">
      <alignment horizontal="right" vertical="center"/>
    </xf>
    <xf numFmtId="0" fontId="2" fillId="0" borderId="71" xfId="0" applyFont="1" applyBorder="1" applyAlignment="1" quotePrefix="1">
      <alignment horizontal="left" vertical="center"/>
    </xf>
    <xf numFmtId="0" fontId="2" fillId="0" borderId="72" xfId="0" applyFont="1" applyFill="1" applyBorder="1" applyAlignment="1">
      <alignment horizontal="center" vertical="center"/>
    </xf>
    <xf numFmtId="0" fontId="2" fillId="0" borderId="73" xfId="0" applyFont="1" applyFill="1" applyBorder="1" applyAlignment="1">
      <alignment vertical="center" wrapText="1"/>
    </xf>
    <xf numFmtId="4" fontId="2" fillId="0" borderId="74" xfId="0" applyNumberFormat="1" applyFont="1" applyFill="1" applyBorder="1" applyAlignment="1">
      <alignment horizontal="center" vertical="center"/>
    </xf>
    <xf numFmtId="4" fontId="2" fillId="0" borderId="75" xfId="0" applyNumberFormat="1" applyFont="1" applyFill="1" applyBorder="1" applyAlignment="1">
      <alignment vertical="center"/>
    </xf>
    <xf numFmtId="4" fontId="2" fillId="0" borderId="76" xfId="0" applyNumberFormat="1" applyFont="1" applyFill="1" applyBorder="1" applyAlignment="1">
      <alignment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2" fillId="0" borderId="79" xfId="0" applyFont="1" applyBorder="1" applyAlignment="1">
      <alignment horizontal="center" vertical="center"/>
    </xf>
    <xf numFmtId="0" fontId="1" fillId="0" borderId="79" xfId="0" applyFont="1" applyBorder="1" applyAlignment="1">
      <alignment horizontal="left" vertical="center"/>
    </xf>
    <xf numFmtId="4" fontId="2" fillId="0" borderId="79" xfId="0" applyNumberFormat="1" applyFont="1" applyBorder="1" applyAlignment="1">
      <alignment vertical="center"/>
    </xf>
    <xf numFmtId="4" fontId="2" fillId="0" borderId="80" xfId="0" applyNumberFormat="1" applyFont="1" applyBorder="1" applyAlignment="1">
      <alignment vertical="center"/>
    </xf>
    <xf numFmtId="0" fontId="2" fillId="0" borderId="81" xfId="0" applyFont="1" applyBorder="1" applyAlignment="1">
      <alignment horizontal="right" vertical="center"/>
    </xf>
    <xf numFmtId="0" fontId="2" fillId="0" borderId="82" xfId="0" applyFont="1" applyBorder="1" applyAlignment="1" quotePrefix="1">
      <alignment horizontal="left" vertical="center"/>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center" vertical="center"/>
    </xf>
    <xf numFmtId="4" fontId="2" fillId="0" borderId="83" xfId="0" applyNumberFormat="1" applyFont="1" applyFill="1" applyBorder="1" applyAlignment="1">
      <alignment vertical="center"/>
    </xf>
    <xf numFmtId="0" fontId="2" fillId="0" borderId="82" xfId="0" applyFont="1" applyBorder="1" applyAlignment="1" quotePrefix="1">
      <alignment horizontal="center" vertical="center"/>
    </xf>
    <xf numFmtId="4" fontId="2" fillId="0" borderId="10" xfId="0" applyNumberFormat="1" applyFont="1" applyBorder="1" applyAlignment="1">
      <alignment horizontal="center" vertical="center"/>
    </xf>
    <xf numFmtId="0" fontId="1" fillId="0" borderId="84" xfId="0" applyFont="1" applyBorder="1" applyAlignment="1">
      <alignment horizontal="left" vertical="center"/>
    </xf>
    <xf numFmtId="4" fontId="2" fillId="0" borderId="85" xfId="0" applyNumberFormat="1" applyFont="1" applyFill="1" applyBorder="1" applyAlignment="1">
      <alignment horizontal="center" vertical="center"/>
    </xf>
    <xf numFmtId="0" fontId="2" fillId="0" borderId="57" xfId="0" applyFont="1" applyFill="1" applyBorder="1" applyAlignment="1">
      <alignment horizontal="center" vertical="center"/>
    </xf>
    <xf numFmtId="0" fontId="1" fillId="0" borderId="86" xfId="0" applyFont="1" applyBorder="1" applyAlignment="1">
      <alignment horizontal="left" vertical="center"/>
    </xf>
    <xf numFmtId="4" fontId="2" fillId="0" borderId="87" xfId="0" applyNumberFormat="1" applyFont="1" applyFill="1" applyBorder="1" applyAlignment="1">
      <alignment horizontal="center" vertical="center"/>
    </xf>
    <xf numFmtId="0" fontId="2" fillId="0" borderId="45" xfId="0" applyFont="1" applyFill="1" applyBorder="1" applyAlignment="1">
      <alignment horizontal="center" vertical="center"/>
    </xf>
    <xf numFmtId="0" fontId="2" fillId="0" borderId="62" xfId="0" applyFont="1" applyFill="1" applyBorder="1" applyAlignment="1">
      <alignment vertical="center"/>
    </xf>
    <xf numFmtId="0" fontId="1" fillId="0" borderId="0" xfId="0" applyFont="1" applyBorder="1" applyAlignment="1">
      <alignment horizontal="center" vertical="center"/>
    </xf>
    <xf numFmtId="0" fontId="2" fillId="0" borderId="62" xfId="0" applyFont="1" applyBorder="1" applyAlignment="1">
      <alignment vertical="center" wrapText="1"/>
    </xf>
    <xf numFmtId="0" fontId="2" fillId="0" borderId="46" xfId="0" applyFont="1" applyBorder="1" applyAlignment="1">
      <alignment vertical="center"/>
    </xf>
    <xf numFmtId="14" fontId="2" fillId="0" borderId="40" xfId="0" applyNumberFormat="1" applyFont="1" applyBorder="1" applyAlignment="1">
      <alignment horizontal="center" vertical="center"/>
    </xf>
    <xf numFmtId="0" fontId="8" fillId="0" borderId="1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85" xfId="0" applyFont="1" applyBorder="1" applyAlignment="1">
      <alignment horizontal="center" vertical="center" wrapText="1"/>
    </xf>
    <xf numFmtId="0" fontId="2" fillId="0" borderId="57" xfId="0" applyFont="1" applyBorder="1" applyAlignment="1" quotePrefix="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87" xfId="0" applyFont="1" applyBorder="1" applyAlignment="1">
      <alignment horizontal="center" vertical="center" wrapText="1"/>
    </xf>
    <xf numFmtId="0" fontId="2" fillId="0" borderId="62" xfId="0" applyFont="1" applyBorder="1" applyAlignment="1">
      <alignment vertical="center"/>
    </xf>
    <xf numFmtId="0" fontId="2" fillId="0" borderId="15" xfId="0" applyFont="1" applyBorder="1" applyAlignment="1">
      <alignment horizontal="center" vertical="center"/>
    </xf>
    <xf numFmtId="4" fontId="2" fillId="0" borderId="85" xfId="0" applyNumberFormat="1" applyFont="1" applyBorder="1" applyAlignment="1">
      <alignment horizontal="center" vertical="center"/>
    </xf>
    <xf numFmtId="0" fontId="2" fillId="0" borderId="55" xfId="0" applyFont="1" applyBorder="1" applyAlignment="1">
      <alignment horizontal="center" vertical="center"/>
    </xf>
    <xf numFmtId="4" fontId="2" fillId="0" borderId="87" xfId="0" applyNumberFormat="1" applyFont="1" applyBorder="1" applyAlignment="1">
      <alignment horizontal="center" vertical="center"/>
    </xf>
    <xf numFmtId="0" fontId="2" fillId="0" borderId="88" xfId="0" applyFont="1" applyFill="1" applyBorder="1" applyAlignment="1">
      <alignment horizontal="center" vertical="center"/>
    </xf>
    <xf numFmtId="0" fontId="2" fillId="0" borderId="66" xfId="0" applyFont="1" applyBorder="1" applyAlignment="1">
      <alignment vertical="center"/>
    </xf>
    <xf numFmtId="0" fontId="2" fillId="0" borderId="15" xfId="0" applyFont="1" applyFill="1" applyBorder="1" applyAlignment="1">
      <alignment horizontal="center" vertical="center"/>
    </xf>
    <xf numFmtId="0" fontId="2" fillId="0" borderId="22" xfId="0" applyFont="1" applyFill="1" applyBorder="1" applyAlignment="1">
      <alignment horizontal="center" vertical="center"/>
    </xf>
    <xf numFmtId="4" fontId="2" fillId="0" borderId="53" xfId="0" applyNumberFormat="1" applyFont="1" applyFill="1" applyBorder="1" applyAlignment="1">
      <alignment vertical="center"/>
    </xf>
    <xf numFmtId="4" fontId="2" fillId="0" borderId="54" xfId="0" applyNumberFormat="1" applyFont="1" applyFill="1" applyBorder="1" applyAlignment="1">
      <alignment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4" fontId="2" fillId="0" borderId="58" xfId="0" applyNumberFormat="1" applyFont="1" applyFill="1" applyBorder="1" applyAlignment="1">
      <alignment vertical="center"/>
    </xf>
    <xf numFmtId="4" fontId="2" fillId="0" borderId="59" xfId="0" applyNumberFormat="1" applyFont="1" applyFill="1" applyBorder="1" applyAlignment="1">
      <alignment vertical="center"/>
    </xf>
    <xf numFmtId="0" fontId="2" fillId="0" borderId="60" xfId="0" applyFont="1" applyFill="1" applyBorder="1" applyAlignment="1" quotePrefix="1">
      <alignment horizontal="center" vertical="center"/>
    </xf>
    <xf numFmtId="0" fontId="1" fillId="0" borderId="84" xfId="0" applyFont="1" applyFill="1" applyBorder="1" applyAlignment="1">
      <alignment vertical="center"/>
    </xf>
    <xf numFmtId="0" fontId="2" fillId="0" borderId="57" xfId="0" applyFont="1" applyFill="1" applyBorder="1" applyAlignment="1" quotePrefix="1">
      <alignment horizontal="center" vertical="center"/>
    </xf>
    <xf numFmtId="0" fontId="1" fillId="0" borderId="86" xfId="0" applyFont="1" applyFill="1" applyBorder="1" applyAlignment="1">
      <alignment vertical="center"/>
    </xf>
    <xf numFmtId="0" fontId="2" fillId="0" borderId="39" xfId="0" applyFont="1" applyFill="1" applyBorder="1" applyAlignment="1" quotePrefix="1">
      <alignment horizontal="left" vertical="center"/>
    </xf>
    <xf numFmtId="4" fontId="2" fillId="0" borderId="42" xfId="0" applyNumberFormat="1" applyFont="1" applyFill="1" applyBorder="1" applyAlignment="1">
      <alignment horizontal="center" vertical="center" wrapText="1"/>
    </xf>
    <xf numFmtId="4" fontId="2" fillId="0" borderId="50" xfId="0" applyNumberFormat="1" applyFont="1" applyFill="1" applyBorder="1" applyAlignment="1">
      <alignment horizontal="center" vertical="center" wrapText="1"/>
    </xf>
    <xf numFmtId="0" fontId="1" fillId="0" borderId="84" xfId="0" applyFont="1" applyBorder="1" applyAlignment="1">
      <alignment vertical="center"/>
    </xf>
    <xf numFmtId="0" fontId="1" fillId="0" borderId="86" xfId="0" applyFont="1" applyBorder="1" applyAlignment="1">
      <alignmen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9" xfId="0" applyFont="1" applyFill="1" applyBorder="1" applyAlignment="1">
      <alignment vertical="center"/>
    </xf>
    <xf numFmtId="4" fontId="2" fillId="0" borderId="90" xfId="0" applyNumberFormat="1" applyFont="1" applyFill="1" applyBorder="1" applyAlignment="1">
      <alignment horizontal="center" vertical="center"/>
    </xf>
    <xf numFmtId="4" fontId="2" fillId="0" borderId="91" xfId="0" applyNumberFormat="1" applyFont="1" applyFill="1" applyBorder="1" applyAlignment="1">
      <alignment vertical="center"/>
    </xf>
    <xf numFmtId="4" fontId="2" fillId="0" borderId="92" xfId="0" applyNumberFormat="1" applyFont="1" applyFill="1" applyBorder="1" applyAlignment="1">
      <alignment vertical="center"/>
    </xf>
    <xf numFmtId="0" fontId="2" fillId="0" borderId="85" xfId="0" applyFont="1" applyBorder="1" applyAlignment="1">
      <alignment horizontal="center" vertical="center"/>
    </xf>
    <xf numFmtId="4" fontId="2" fillId="0" borderId="53" xfId="0" applyNumberFormat="1" applyFont="1" applyFill="1" applyBorder="1" applyAlignment="1">
      <alignment horizontal="right" vertical="center"/>
    </xf>
    <xf numFmtId="4" fontId="2" fillId="0" borderId="54" xfId="0" applyNumberFormat="1" applyFont="1" applyFill="1" applyBorder="1" applyAlignment="1">
      <alignment horizontal="right" vertical="center"/>
    </xf>
    <xf numFmtId="0" fontId="2" fillId="0" borderId="87" xfId="0" applyFont="1" applyBorder="1" applyAlignment="1">
      <alignment horizontal="center" vertical="center"/>
    </xf>
    <xf numFmtId="4" fontId="2" fillId="0" borderId="58" xfId="0" applyNumberFormat="1" applyFont="1" applyFill="1" applyBorder="1" applyAlignment="1">
      <alignment horizontal="right" vertical="center"/>
    </xf>
    <xf numFmtId="4" fontId="2" fillId="0" borderId="59" xfId="0" applyNumberFormat="1" applyFont="1" applyFill="1" applyBorder="1" applyAlignment="1">
      <alignment horizontal="right" vertical="center"/>
    </xf>
    <xf numFmtId="0" fontId="2" fillId="0" borderId="93" xfId="0" applyFont="1" applyBorder="1" applyAlignment="1">
      <alignment horizontal="right" vertical="center"/>
    </xf>
    <xf numFmtId="0" fontId="2" fillId="0" borderId="94" xfId="0" applyFont="1" applyBorder="1" applyAlignment="1" quotePrefix="1">
      <alignment horizontal="left"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7" xfId="0" applyFont="1" applyFill="1" applyBorder="1" applyAlignment="1">
      <alignment vertical="center"/>
    </xf>
    <xf numFmtId="4" fontId="2" fillId="0" borderId="98" xfId="0" applyNumberFormat="1" applyFont="1" applyFill="1" applyBorder="1" applyAlignment="1">
      <alignment horizontal="center" vertical="center"/>
    </xf>
    <xf numFmtId="4" fontId="2" fillId="0" borderId="99" xfId="0" applyNumberFormat="1" applyFont="1" applyFill="1" applyBorder="1" applyAlignment="1">
      <alignment vertical="center"/>
    </xf>
    <xf numFmtId="4" fontId="2" fillId="0" borderId="100" xfId="0" applyNumberFormat="1" applyFont="1" applyFill="1" applyBorder="1" applyAlignment="1">
      <alignment vertical="center"/>
    </xf>
    <xf numFmtId="0" fontId="2" fillId="0" borderId="0" xfId="0" applyFont="1" applyAlignment="1">
      <alignment horizontal="center" vertical="top"/>
    </xf>
    <xf numFmtId="4" fontId="2" fillId="0" borderId="0" xfId="0" applyNumberFormat="1" applyFont="1" applyFill="1" applyAlignment="1">
      <alignment horizontal="right" vertical="center"/>
    </xf>
    <xf numFmtId="0" fontId="2" fillId="0" borderId="0" xfId="0" applyFont="1" applyFill="1" applyBorder="1" applyAlignment="1">
      <alignment horizontal="center"/>
    </xf>
    <xf numFmtId="4" fontId="2" fillId="0" borderId="0" xfId="0" applyNumberFormat="1" applyFont="1" applyBorder="1" applyAlignment="1">
      <alignment horizontal="center"/>
    </xf>
    <xf numFmtId="4" fontId="2" fillId="0" borderId="0" xfId="0" applyNumberFormat="1" applyFont="1" applyBorder="1" applyAlignment="1">
      <alignment/>
    </xf>
    <xf numFmtId="4" fontId="19" fillId="0" borderId="0" xfId="0" applyNumberFormat="1" applyFont="1" applyFill="1" applyAlignment="1">
      <alignment horizontal="right" vertical="center"/>
    </xf>
    <xf numFmtId="0" fontId="1" fillId="0" borderId="0" xfId="0" applyFont="1" applyAlignment="1">
      <alignment vertical="top"/>
    </xf>
    <xf numFmtId="0" fontId="2" fillId="0" borderId="0" xfId="0" applyFont="1" applyAlignment="1">
      <alignment vertical="top"/>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4" fontId="8" fillId="0" borderId="101" xfId="0" applyNumberFormat="1" applyFont="1" applyFill="1" applyBorder="1" applyAlignment="1">
      <alignment horizontal="right" vertical="center" wrapText="1"/>
    </xf>
    <xf numFmtId="4" fontId="8" fillId="0" borderId="104" xfId="0" applyNumberFormat="1" applyFont="1" applyFill="1" applyBorder="1" applyAlignment="1">
      <alignment horizontal="right" vertical="center" wrapText="1"/>
    </xf>
    <xf numFmtId="0" fontId="21" fillId="0" borderId="77" xfId="0" applyFont="1" applyBorder="1" applyAlignment="1">
      <alignment vertical="center"/>
    </xf>
    <xf numFmtId="4" fontId="8" fillId="0" borderId="33" xfId="0" applyNumberFormat="1" applyFont="1" applyFill="1" applyBorder="1" applyAlignment="1">
      <alignment horizontal="right" vertical="center" wrapText="1"/>
    </xf>
    <xf numFmtId="4" fontId="69" fillId="0" borderId="80" xfId="0" applyNumberFormat="1" applyFont="1" applyFill="1" applyBorder="1" applyAlignment="1">
      <alignment horizontal="right" vertical="center" wrapText="1"/>
    </xf>
    <xf numFmtId="0" fontId="1" fillId="0" borderId="85" xfId="0" applyFont="1" applyBorder="1" applyAlignment="1">
      <alignment horizontal="center" vertical="center"/>
    </xf>
    <xf numFmtId="0" fontId="1" fillId="0" borderId="53" xfId="0" applyFont="1" applyBorder="1" applyAlignment="1">
      <alignment horizontal="center" vertical="center"/>
    </xf>
    <xf numFmtId="0" fontId="1" fillId="0" borderId="105" xfId="0" applyFont="1" applyBorder="1" applyAlignment="1">
      <alignment horizontal="center" vertical="center"/>
    </xf>
    <xf numFmtId="0" fontId="1" fillId="0" borderId="35" xfId="0" applyFont="1" applyBorder="1" applyAlignment="1">
      <alignment horizontal="center" vertical="center"/>
    </xf>
    <xf numFmtId="4" fontId="16" fillId="0" borderId="53" xfId="0" applyNumberFormat="1" applyFont="1" applyBorder="1" applyAlignment="1">
      <alignment vertical="center"/>
    </xf>
    <xf numFmtId="4" fontId="16" fillId="0" borderId="54" xfId="0" applyNumberFormat="1" applyFont="1" applyBorder="1" applyAlignment="1">
      <alignment vertical="center"/>
    </xf>
    <xf numFmtId="0" fontId="16" fillId="0" borderId="106" xfId="0" applyFont="1" applyBorder="1" applyAlignment="1">
      <alignment vertical="center"/>
    </xf>
    <xf numFmtId="0" fontId="16" fillId="0" borderId="0" xfId="0" applyFont="1" applyBorder="1" applyAlignment="1">
      <alignment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107" xfId="0" applyFont="1" applyBorder="1" applyAlignment="1">
      <alignment horizontal="center" vertical="center"/>
    </xf>
    <xf numFmtId="0" fontId="1" fillId="0" borderId="0" xfId="0" applyFont="1" applyBorder="1" applyAlignment="1">
      <alignment horizontal="center" vertical="center"/>
    </xf>
    <xf numFmtId="4" fontId="16" fillId="0" borderId="58" xfId="0" applyNumberFormat="1" applyFont="1" applyBorder="1" applyAlignment="1">
      <alignment vertical="center"/>
    </xf>
    <xf numFmtId="4" fontId="16" fillId="0" borderId="59" xfId="0" applyNumberFormat="1" applyFont="1" applyBorder="1" applyAlignment="1">
      <alignment vertical="center"/>
    </xf>
    <xf numFmtId="179" fontId="2" fillId="0" borderId="43" xfId="42" applyFont="1" applyFill="1" applyBorder="1" applyAlignment="1">
      <alignment horizontal="center" vertical="center"/>
    </xf>
    <xf numFmtId="179" fontId="2" fillId="0" borderId="108" xfId="42" applyFont="1" applyFill="1" applyBorder="1" applyAlignment="1">
      <alignment horizontal="center" vertical="center"/>
    </xf>
    <xf numFmtId="179" fontId="2" fillId="0" borderId="39" xfId="42" applyFont="1" applyBorder="1" applyAlignment="1">
      <alignment horizontal="center" vertical="center"/>
    </xf>
    <xf numFmtId="179" fontId="2" fillId="0" borderId="43" xfId="42" applyFont="1" applyBorder="1" applyAlignment="1">
      <alignment horizontal="center" vertical="center"/>
    </xf>
    <xf numFmtId="179" fontId="2" fillId="0" borderId="108" xfId="42" applyFont="1" applyBorder="1" applyAlignment="1">
      <alignment horizontal="center" vertical="center"/>
    </xf>
    <xf numFmtId="0" fontId="9" fillId="0" borderId="106" xfId="0" applyFont="1" applyFill="1" applyBorder="1" applyAlignment="1">
      <alignment vertical="center"/>
    </xf>
    <xf numFmtId="179" fontId="2" fillId="0" borderId="51" xfId="42" applyFont="1" applyBorder="1" applyAlignment="1">
      <alignment horizontal="center" vertical="center"/>
    </xf>
    <xf numFmtId="179" fontId="2" fillId="0" borderId="109" xfId="42" applyFont="1" applyBorder="1" applyAlignment="1">
      <alignment horizontal="center" vertical="center"/>
    </xf>
    <xf numFmtId="179" fontId="2" fillId="0" borderId="60" xfId="42" applyFont="1" applyBorder="1" applyAlignment="1">
      <alignment horizontal="center" vertical="center"/>
    </xf>
    <xf numFmtId="179" fontId="1" fillId="0" borderId="53" xfId="42" applyFont="1" applyBorder="1" applyAlignment="1">
      <alignment horizontal="center" vertical="center"/>
    </xf>
    <xf numFmtId="179" fontId="1" fillId="0" borderId="105" xfId="42" applyFont="1" applyBorder="1" applyAlignment="1">
      <alignment horizontal="center" vertical="center"/>
    </xf>
    <xf numFmtId="179" fontId="1" fillId="0" borderId="35" xfId="42" applyFont="1" applyBorder="1" applyAlignment="1">
      <alignment horizontal="center" vertical="center"/>
    </xf>
    <xf numFmtId="0" fontId="16" fillId="0" borderId="57" xfId="0" applyFont="1" applyBorder="1" applyAlignment="1">
      <alignment vertical="center"/>
    </xf>
    <xf numFmtId="0" fontId="1" fillId="0" borderId="87" xfId="0" applyFont="1" applyBorder="1" applyAlignment="1">
      <alignment horizontal="center" vertical="center"/>
    </xf>
    <xf numFmtId="179" fontId="1" fillId="0" borderId="58" xfId="42" applyFont="1" applyBorder="1" applyAlignment="1">
      <alignment horizontal="center" vertical="center"/>
    </xf>
    <xf numFmtId="179" fontId="1" fillId="0" borderId="110" xfId="42" applyFont="1" applyBorder="1" applyAlignment="1">
      <alignment horizontal="center" vertical="center"/>
    </xf>
    <xf numFmtId="179" fontId="1" fillId="0" borderId="57" xfId="42" applyFont="1" applyBorder="1" applyAlignment="1">
      <alignment horizontal="center" vertical="center"/>
    </xf>
    <xf numFmtId="179" fontId="2" fillId="0" borderId="60" xfId="42" applyFont="1" applyFill="1" applyBorder="1" applyAlignment="1">
      <alignment horizontal="center" vertical="center"/>
    </xf>
    <xf numFmtId="179" fontId="2" fillId="0" borderId="51" xfId="42" applyFont="1" applyFill="1" applyBorder="1" applyAlignment="1">
      <alignment horizontal="center" vertical="center"/>
    </xf>
    <xf numFmtId="179" fontId="2" fillId="0" borderId="109" xfId="42" applyFont="1" applyFill="1" applyBorder="1" applyAlignment="1">
      <alignment horizontal="center" vertical="center"/>
    </xf>
    <xf numFmtId="179" fontId="2" fillId="0" borderId="39" xfId="42" applyFont="1" applyFill="1" applyBorder="1" applyAlignment="1">
      <alignment horizontal="center" vertical="center"/>
    </xf>
    <xf numFmtId="0" fontId="9" fillId="0" borderId="106" xfId="0" applyFont="1" applyBorder="1" applyAlignment="1">
      <alignment vertical="center"/>
    </xf>
    <xf numFmtId="43" fontId="1" fillId="0" borderId="110" xfId="42" applyNumberFormat="1" applyFont="1" applyBorder="1" applyAlignment="1">
      <alignment horizontal="center" vertical="center"/>
    </xf>
    <xf numFmtId="179" fontId="2" fillId="0" borderId="68" xfId="42" applyFont="1" applyFill="1" applyBorder="1" applyAlignment="1">
      <alignment horizontal="center" vertical="center"/>
    </xf>
    <xf numFmtId="179" fontId="2" fillId="0" borderId="111" xfId="42" applyFont="1" applyFill="1" applyBorder="1" applyAlignment="1">
      <alignment horizontal="center" vertical="center"/>
    </xf>
    <xf numFmtId="179" fontId="2" fillId="0" borderId="64" xfId="42" applyFont="1" applyFill="1" applyBorder="1" applyAlignment="1">
      <alignment horizontal="center" vertical="center"/>
    </xf>
    <xf numFmtId="0" fontId="2" fillId="0" borderId="112" xfId="0" applyFont="1" applyFill="1" applyBorder="1" applyAlignment="1">
      <alignment horizontal="center" vertical="center"/>
    </xf>
    <xf numFmtId="179" fontId="2" fillId="0" borderId="75" xfId="42" applyFont="1" applyFill="1" applyBorder="1" applyAlignment="1">
      <alignment horizontal="center" vertical="center"/>
    </xf>
    <xf numFmtId="179" fontId="2" fillId="0" borderId="113" xfId="42" applyFont="1" applyFill="1" applyBorder="1" applyAlignment="1">
      <alignment horizontal="center" vertical="center"/>
    </xf>
    <xf numFmtId="179" fontId="2" fillId="0" borderId="71" xfId="42" applyFont="1" applyFill="1" applyBorder="1" applyAlignment="1">
      <alignment horizontal="center" vertical="center"/>
    </xf>
    <xf numFmtId="179" fontId="1" fillId="0" borderId="79" xfId="42" applyFont="1" applyBorder="1" applyAlignment="1">
      <alignment horizontal="center" vertical="center"/>
    </xf>
    <xf numFmtId="179" fontId="2" fillId="0" borderId="10" xfId="42" applyFont="1" applyBorder="1" applyAlignment="1">
      <alignment horizontal="center" vertical="center"/>
    </xf>
    <xf numFmtId="0" fontId="9" fillId="0" borderId="81" xfId="0" applyFont="1" applyBorder="1" applyAlignment="1">
      <alignment vertical="center"/>
    </xf>
    <xf numFmtId="179" fontId="2" fillId="0" borderId="53" xfId="42" applyFont="1" applyFill="1" applyBorder="1" applyAlignment="1">
      <alignment horizontal="center" vertical="center"/>
    </xf>
    <xf numFmtId="179" fontId="2" fillId="0" borderId="105" xfId="42" applyFont="1" applyFill="1" applyBorder="1" applyAlignment="1">
      <alignment horizontal="center" vertical="center"/>
    </xf>
    <xf numFmtId="179" fontId="2" fillId="0" borderId="35" xfId="42" applyFont="1" applyFill="1" applyBorder="1" applyAlignment="1">
      <alignment horizontal="center" vertical="center"/>
    </xf>
    <xf numFmtId="179" fontId="2" fillId="0" borderId="58" xfId="42" applyFont="1" applyFill="1" applyBorder="1" applyAlignment="1">
      <alignment horizontal="center" vertical="center"/>
    </xf>
    <xf numFmtId="179" fontId="2" fillId="0" borderId="110" xfId="42" applyFont="1" applyFill="1" applyBorder="1" applyAlignment="1">
      <alignment horizontal="center" vertical="center"/>
    </xf>
    <xf numFmtId="179" fontId="2" fillId="0" borderId="57" xfId="42" applyFont="1" applyFill="1" applyBorder="1" applyAlignment="1">
      <alignment horizontal="center" vertical="center"/>
    </xf>
    <xf numFmtId="179" fontId="8" fillId="0" borderId="53" xfId="42" applyFont="1" applyBorder="1" applyAlignment="1">
      <alignment horizontal="center" vertical="center" wrapText="1"/>
    </xf>
    <xf numFmtId="179" fontId="8" fillId="0" borderId="105" xfId="42" applyFont="1" applyBorder="1" applyAlignment="1">
      <alignment horizontal="center" vertical="center" wrapText="1"/>
    </xf>
    <xf numFmtId="179" fontId="8" fillId="0" borderId="35" xfId="42" applyFont="1" applyBorder="1" applyAlignment="1">
      <alignment horizontal="center" vertical="center" wrapText="1"/>
    </xf>
    <xf numFmtId="4" fontId="8" fillId="0" borderId="53" xfId="0" applyNumberFormat="1" applyFont="1" applyFill="1" applyBorder="1" applyAlignment="1">
      <alignment horizontal="right" vertical="center" wrapText="1"/>
    </xf>
    <xf numFmtId="4" fontId="8" fillId="0" borderId="54" xfId="0" applyNumberFormat="1" applyFont="1" applyFill="1" applyBorder="1" applyAlignment="1">
      <alignment horizontal="right" vertical="center" wrapText="1"/>
    </xf>
    <xf numFmtId="0" fontId="21" fillId="0" borderId="106" xfId="0" applyFont="1" applyBorder="1" applyAlignment="1">
      <alignment vertical="center"/>
    </xf>
    <xf numFmtId="179" fontId="8" fillId="0" borderId="58" xfId="42" applyFont="1" applyBorder="1" applyAlignment="1">
      <alignment horizontal="center" vertical="center" wrapText="1"/>
    </xf>
    <xf numFmtId="179" fontId="8" fillId="0" borderId="110" xfId="42" applyFont="1" applyBorder="1" applyAlignment="1">
      <alignment horizontal="center" vertical="center" wrapText="1"/>
    </xf>
    <xf numFmtId="179" fontId="8" fillId="0" borderId="57" xfId="42" applyFont="1" applyBorder="1" applyAlignment="1">
      <alignment horizontal="center" vertical="center" wrapText="1"/>
    </xf>
    <xf numFmtId="4" fontId="8" fillId="0" borderId="58" xfId="0" applyNumberFormat="1" applyFont="1" applyFill="1" applyBorder="1" applyAlignment="1">
      <alignment horizontal="right" vertical="center" wrapText="1"/>
    </xf>
    <xf numFmtId="4" fontId="8" fillId="0" borderId="59" xfId="0" applyNumberFormat="1" applyFont="1" applyFill="1" applyBorder="1" applyAlignment="1">
      <alignment horizontal="right" vertical="center" wrapText="1"/>
    </xf>
    <xf numFmtId="179" fontId="2" fillId="0" borderId="53" xfId="42" applyFont="1" applyBorder="1" applyAlignment="1">
      <alignment horizontal="center" vertical="center"/>
    </xf>
    <xf numFmtId="179" fontId="2" fillId="0" borderId="105" xfId="42" applyFont="1" applyBorder="1" applyAlignment="1">
      <alignment horizontal="center" vertical="center"/>
    </xf>
    <xf numFmtId="179" fontId="2" fillId="0" borderId="35" xfId="42" applyFont="1" applyBorder="1" applyAlignment="1">
      <alignment horizontal="center" vertical="center"/>
    </xf>
    <xf numFmtId="179" fontId="2" fillId="0" borderId="58" xfId="42" applyFont="1" applyBorder="1" applyAlignment="1">
      <alignment horizontal="center" vertical="center"/>
    </xf>
    <xf numFmtId="179" fontId="2" fillId="0" borderId="110" xfId="42" applyFont="1" applyBorder="1" applyAlignment="1">
      <alignment horizontal="center" vertical="center"/>
    </xf>
    <xf numFmtId="179" fontId="2" fillId="0" borderId="57" xfId="42" applyFont="1" applyBorder="1" applyAlignment="1">
      <alignment horizontal="center" vertical="center"/>
    </xf>
    <xf numFmtId="179" fontId="2" fillId="0" borderId="68" xfId="42" applyFont="1" applyBorder="1" applyAlignment="1">
      <alignment horizontal="center" vertical="center"/>
    </xf>
    <xf numFmtId="179" fontId="2" fillId="0" borderId="111" xfId="42" applyFont="1" applyBorder="1" applyAlignment="1">
      <alignment horizontal="center" vertical="center"/>
    </xf>
    <xf numFmtId="179" fontId="2" fillId="0" borderId="64" xfId="42" applyFont="1" applyBorder="1" applyAlignment="1">
      <alignment horizontal="center" vertical="center"/>
    </xf>
    <xf numFmtId="179" fontId="2" fillId="0" borderId="43" xfId="42" applyFont="1" applyFill="1" applyBorder="1" applyAlignment="1">
      <alignment horizontal="center" vertical="center" wrapText="1"/>
    </xf>
    <xf numFmtId="179" fontId="2" fillId="0" borderId="108" xfId="42" applyFont="1" applyFill="1" applyBorder="1" applyAlignment="1">
      <alignment horizontal="center" vertical="center" wrapText="1"/>
    </xf>
    <xf numFmtId="179" fontId="2" fillId="0" borderId="39" xfId="42" applyFont="1" applyFill="1" applyBorder="1" applyAlignment="1">
      <alignment horizontal="center" vertical="center" wrapText="1"/>
    </xf>
    <xf numFmtId="179" fontId="2" fillId="0" borderId="51" xfId="42" applyFont="1" applyFill="1" applyBorder="1" applyAlignment="1">
      <alignment horizontal="center" vertical="center" wrapText="1"/>
    </xf>
    <xf numFmtId="179" fontId="2" fillId="0" borderId="109" xfId="42" applyFont="1" applyFill="1" applyBorder="1" applyAlignment="1">
      <alignment horizontal="center" vertical="center" wrapText="1"/>
    </xf>
    <xf numFmtId="179" fontId="2" fillId="0" borderId="60" xfId="42" applyFont="1" applyFill="1" applyBorder="1" applyAlignment="1">
      <alignment horizontal="center" vertical="center" wrapText="1"/>
    </xf>
    <xf numFmtId="179" fontId="2" fillId="0" borderId="91" xfId="42" applyFont="1" applyFill="1" applyBorder="1" applyAlignment="1">
      <alignment horizontal="center" vertical="center"/>
    </xf>
    <xf numFmtId="179" fontId="2" fillId="0" borderId="107" xfId="42" applyFont="1" applyFill="1" applyBorder="1" applyAlignment="1">
      <alignment horizontal="center" vertical="center"/>
    </xf>
    <xf numFmtId="179" fontId="2" fillId="0" borderId="0" xfId="42" applyFont="1" applyFill="1" applyBorder="1" applyAlignment="1">
      <alignment horizontal="center" vertical="center"/>
    </xf>
    <xf numFmtId="179" fontId="2" fillId="0" borderId="99" xfId="42" applyFont="1" applyFill="1" applyBorder="1" applyAlignment="1">
      <alignment horizontal="center" vertical="center"/>
    </xf>
    <xf numFmtId="179" fontId="2" fillId="0" borderId="114" xfId="42" applyFont="1" applyFill="1" applyBorder="1" applyAlignment="1">
      <alignment horizontal="center" vertical="center"/>
    </xf>
    <xf numFmtId="179" fontId="2" fillId="0" borderId="94" xfId="42" applyFont="1" applyFill="1" applyBorder="1" applyAlignment="1">
      <alignment horizontal="center" vertical="center"/>
    </xf>
    <xf numFmtId="0" fontId="9" fillId="0" borderId="0" xfId="0" applyFont="1" applyBorder="1" applyAlignment="1">
      <alignment vertical="center"/>
    </xf>
    <xf numFmtId="3" fontId="16" fillId="0" borderId="115" xfId="0" applyNumberFormat="1" applyFont="1" applyBorder="1" applyAlignment="1">
      <alignment horizontal="center" vertical="center"/>
    </xf>
    <xf numFmtId="3" fontId="16" fillId="0" borderId="17" xfId="0" applyNumberFormat="1"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vertical="center"/>
    </xf>
    <xf numFmtId="3" fontId="9" fillId="0" borderId="118" xfId="0" applyNumberFormat="1" applyFont="1" applyBorder="1" applyAlignment="1">
      <alignment horizontal="right" vertical="center"/>
    </xf>
    <xf numFmtId="3" fontId="9" fillId="0" borderId="19" xfId="0" applyNumberFormat="1" applyFont="1" applyBorder="1" applyAlignment="1">
      <alignment horizontal="right" vertical="center"/>
    </xf>
    <xf numFmtId="0" fontId="9" fillId="0" borderId="13" xfId="0" applyFont="1" applyBorder="1" applyAlignment="1">
      <alignment horizontal="center" vertical="center"/>
    </xf>
    <xf numFmtId="0" fontId="9" fillId="0" borderId="119" xfId="0" applyFont="1" applyBorder="1" applyAlignment="1">
      <alignment vertical="center"/>
    </xf>
    <xf numFmtId="3" fontId="9" fillId="0" borderId="82" xfId="0" applyNumberFormat="1" applyFont="1" applyBorder="1" applyAlignment="1">
      <alignment horizontal="right" vertical="center"/>
    </xf>
    <xf numFmtId="3" fontId="9" fillId="0" borderId="10" xfId="0" applyNumberFormat="1" applyFont="1" applyBorder="1" applyAlignment="1">
      <alignment horizontal="right" vertical="center"/>
    </xf>
    <xf numFmtId="0" fontId="9" fillId="0" borderId="120" xfId="0" applyFont="1" applyBorder="1" applyAlignment="1">
      <alignment horizontal="center" vertical="center"/>
    </xf>
    <xf numFmtId="3" fontId="9" fillId="0" borderId="121" xfId="0" applyNumberFormat="1" applyFont="1" applyBorder="1" applyAlignment="1">
      <alignment horizontal="right" vertical="center"/>
    </xf>
    <xf numFmtId="3" fontId="9" fillId="0" borderId="11" xfId="0" applyNumberFormat="1" applyFont="1" applyBorder="1" applyAlignment="1">
      <alignment horizontal="right" vertical="center"/>
    </xf>
    <xf numFmtId="0" fontId="9" fillId="0" borderId="15" xfId="0" applyFont="1" applyBorder="1" applyAlignment="1">
      <alignment horizontal="center" vertical="center"/>
    </xf>
    <xf numFmtId="3" fontId="9" fillId="0" borderId="84" xfId="0" applyNumberFormat="1" applyFont="1" applyBorder="1" applyAlignment="1">
      <alignment horizontal="right" vertical="center"/>
    </xf>
    <xf numFmtId="3" fontId="9" fillId="0" borderId="16" xfId="0" applyNumberFormat="1" applyFont="1" applyBorder="1" applyAlignment="1">
      <alignment horizontal="right" vertical="center"/>
    </xf>
    <xf numFmtId="4" fontId="22" fillId="0" borderId="0" xfId="0" applyNumberFormat="1" applyFont="1" applyFill="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vertical="top"/>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xf>
    <xf numFmtId="0" fontId="2" fillId="0" borderId="0" xfId="0" applyFont="1" applyAlignment="1">
      <alignment/>
    </xf>
    <xf numFmtId="3" fontId="12" fillId="0" borderId="0" xfId="0" applyNumberFormat="1" applyFont="1" applyAlignment="1">
      <alignment horizontal="center"/>
    </xf>
    <xf numFmtId="3" fontId="20" fillId="0" borderId="0" xfId="0" applyNumberFormat="1" applyFont="1" applyAlignment="1">
      <alignment horizontal="center"/>
    </xf>
    <xf numFmtId="0" fontId="23" fillId="0" borderId="0" xfId="58" applyFont="1">
      <alignment/>
      <protection/>
    </xf>
    <xf numFmtId="0" fontId="23" fillId="0" borderId="0" xfId="58" applyFont="1" applyAlignment="1">
      <alignment horizontal="center"/>
      <protection/>
    </xf>
    <xf numFmtId="0" fontId="1" fillId="0" borderId="0" xfId="58" applyFont="1">
      <alignment/>
      <protection/>
    </xf>
    <xf numFmtId="0" fontId="12" fillId="0" borderId="0" xfId="58" applyFont="1">
      <alignment/>
      <protection/>
    </xf>
    <xf numFmtId="0" fontId="12" fillId="0" borderId="0" xfId="58" applyFont="1" applyAlignment="1">
      <alignment horizontal="center"/>
      <protection/>
    </xf>
    <xf numFmtId="0" fontId="24" fillId="0" borderId="0" xfId="58" applyFont="1" applyAlignment="1">
      <alignment horizontal="center"/>
      <protection/>
    </xf>
    <xf numFmtId="0" fontId="24" fillId="0" borderId="0" xfId="58" applyFont="1">
      <alignment/>
      <protection/>
    </xf>
    <xf numFmtId="0" fontId="25" fillId="0" borderId="0" xfId="58" applyFont="1" applyAlignment="1">
      <alignment vertical="center"/>
      <protection/>
    </xf>
    <xf numFmtId="0" fontId="24" fillId="0" borderId="16" xfId="58" applyFont="1" applyBorder="1" applyAlignment="1">
      <alignment horizontal="center" vertical="center" wrapText="1"/>
      <protection/>
    </xf>
    <xf numFmtId="0" fontId="26" fillId="0" borderId="120" xfId="58" applyFont="1" applyBorder="1" applyAlignment="1">
      <alignment horizontal="center" vertical="center" wrapText="1"/>
      <protection/>
    </xf>
    <xf numFmtId="0" fontId="26" fillId="0" borderId="11" xfId="58" applyFont="1" applyBorder="1" applyAlignment="1">
      <alignment horizontal="center" vertical="center" wrapText="1"/>
      <protection/>
    </xf>
    <xf numFmtId="0" fontId="26" fillId="0" borderId="21" xfId="58" applyFont="1" applyBorder="1" applyAlignment="1">
      <alignment horizontal="center" vertical="center" wrapText="1"/>
      <protection/>
    </xf>
    <xf numFmtId="0" fontId="26" fillId="0" borderId="13" xfId="58" applyFont="1" applyBorder="1" applyAlignment="1">
      <alignment vertical="center" wrapText="1"/>
      <protection/>
    </xf>
    <xf numFmtId="0" fontId="24" fillId="0" borderId="10" xfId="58" applyFont="1" applyBorder="1" applyAlignment="1">
      <alignment vertical="center" wrapText="1"/>
      <protection/>
    </xf>
    <xf numFmtId="0" fontId="24" fillId="0" borderId="10" xfId="58" applyFont="1" applyBorder="1" applyAlignment="1">
      <alignment horizontal="center" vertical="center" wrapText="1"/>
      <protection/>
    </xf>
    <xf numFmtId="3" fontId="27" fillId="0" borderId="10" xfId="58" applyNumberFormat="1" applyFont="1" applyBorder="1" applyAlignment="1">
      <alignment horizontal="center" vertical="center" wrapText="1"/>
      <protection/>
    </xf>
    <xf numFmtId="3" fontId="27" fillId="0" borderId="14" xfId="58" applyNumberFormat="1" applyFont="1" applyBorder="1" applyAlignment="1">
      <alignment horizontal="center" vertical="center" wrapText="1"/>
      <protection/>
    </xf>
    <xf numFmtId="0" fontId="26" fillId="33" borderId="13" xfId="58" applyFont="1" applyFill="1" applyBorder="1" applyAlignment="1">
      <alignment vertical="center" wrapText="1"/>
      <protection/>
    </xf>
    <xf numFmtId="0" fontId="25" fillId="33" borderId="10" xfId="58" applyFont="1" applyFill="1" applyBorder="1" applyAlignment="1">
      <alignment vertical="center" wrapText="1"/>
      <protection/>
    </xf>
    <xf numFmtId="0" fontId="25" fillId="33" borderId="10" xfId="58" applyFont="1" applyFill="1" applyBorder="1" applyAlignment="1">
      <alignment horizontal="center" vertical="center" wrapText="1"/>
      <protection/>
    </xf>
    <xf numFmtId="3" fontId="27" fillId="33" borderId="10" xfId="58" applyNumberFormat="1" applyFont="1" applyFill="1" applyBorder="1" applyAlignment="1">
      <alignment horizontal="center" vertical="center" wrapText="1"/>
      <protection/>
    </xf>
    <xf numFmtId="3" fontId="27" fillId="33" borderId="14" xfId="58" applyNumberFormat="1" applyFont="1" applyFill="1" applyBorder="1" applyAlignment="1">
      <alignment horizontal="center" vertical="center" wrapText="1"/>
      <protection/>
    </xf>
    <xf numFmtId="0" fontId="24" fillId="0" borderId="122" xfId="58" applyFont="1" applyBorder="1" applyAlignment="1">
      <alignment horizontal="center" vertical="center" wrapText="1"/>
      <protection/>
    </xf>
    <xf numFmtId="0" fontId="24" fillId="0" borderId="0" xfId="0" applyFont="1" applyAlignment="1">
      <alignment vertical="center"/>
    </xf>
    <xf numFmtId="0" fontId="26" fillId="0" borderId="13" xfId="58" applyFont="1" applyBorder="1" applyAlignment="1">
      <alignment vertical="center" wrapText="1"/>
      <protection/>
    </xf>
    <xf numFmtId="0" fontId="24" fillId="0" borderId="122" xfId="58" applyFont="1" applyBorder="1" applyAlignment="1">
      <alignment vertical="center" wrapText="1"/>
      <protection/>
    </xf>
    <xf numFmtId="0" fontId="24" fillId="0" borderId="10" xfId="58" applyFont="1" applyBorder="1" applyAlignment="1">
      <alignment horizontal="center" vertical="center" wrapText="1"/>
      <protection/>
    </xf>
    <xf numFmtId="3" fontId="24" fillId="0" borderId="0" xfId="0" applyNumberFormat="1" applyFont="1" applyAlignment="1">
      <alignment horizontal="center" vertical="center"/>
    </xf>
    <xf numFmtId="3" fontId="27" fillId="0" borderId="10" xfId="58" applyNumberFormat="1" applyFont="1" applyBorder="1" applyAlignment="1">
      <alignment horizontal="center" vertical="center" wrapText="1"/>
      <protection/>
    </xf>
    <xf numFmtId="0" fontId="25" fillId="33" borderId="122" xfId="58" applyFont="1" applyFill="1" applyBorder="1" applyAlignment="1">
      <alignment horizontal="center" vertical="center" wrapText="1"/>
      <protection/>
    </xf>
    <xf numFmtId="3" fontId="24" fillId="0" borderId="10" xfId="58" applyNumberFormat="1" applyFont="1" applyBorder="1" applyAlignment="1">
      <alignment horizontal="center" vertical="center" wrapText="1"/>
      <protection/>
    </xf>
    <xf numFmtId="0" fontId="24" fillId="0" borderId="10" xfId="58" applyFont="1" applyBorder="1" applyAlignment="1">
      <alignment horizontal="left" vertical="center" wrapText="1"/>
      <protection/>
    </xf>
    <xf numFmtId="0" fontId="26" fillId="0" borderId="15" xfId="58" applyFont="1" applyBorder="1" applyAlignment="1">
      <alignment vertical="center" wrapText="1"/>
      <protection/>
    </xf>
    <xf numFmtId="0" fontId="24" fillId="0" borderId="16" xfId="58" applyFont="1" applyBorder="1" applyAlignment="1">
      <alignment vertical="center" wrapText="1"/>
      <protection/>
    </xf>
    <xf numFmtId="3" fontId="24" fillId="0" borderId="16" xfId="58" applyNumberFormat="1" applyFont="1" applyBorder="1" applyAlignment="1">
      <alignment horizontal="center" vertical="center" wrapText="1"/>
      <protection/>
    </xf>
    <xf numFmtId="3" fontId="27" fillId="0" borderId="16" xfId="58" applyNumberFormat="1" applyFont="1" applyBorder="1" applyAlignment="1">
      <alignment horizontal="center" vertical="center" wrapText="1"/>
      <protection/>
    </xf>
    <xf numFmtId="3" fontId="27" fillId="0" borderId="22" xfId="58" applyNumberFormat="1" applyFont="1" applyBorder="1" applyAlignment="1">
      <alignment horizontal="center" vertical="center" wrapText="1"/>
      <protection/>
    </xf>
    <xf numFmtId="0" fontId="11" fillId="0" borderId="0" xfId="58" applyFont="1" applyAlignment="1">
      <alignment vertical="top"/>
      <protection/>
    </xf>
    <xf numFmtId="0" fontId="12" fillId="0" borderId="0" xfId="58" applyFont="1">
      <alignment/>
      <protection/>
    </xf>
    <xf numFmtId="0" fontId="12" fillId="0" borderId="0" xfId="58" applyFont="1" applyAlignment="1">
      <alignment horizontal="center"/>
      <protection/>
    </xf>
    <xf numFmtId="0" fontId="14" fillId="0" borderId="0" xfId="0" applyFont="1" applyAlignment="1">
      <alignment/>
    </xf>
    <xf numFmtId="49" fontId="14" fillId="0" borderId="0" xfId="0" applyNumberFormat="1" applyFont="1" applyAlignment="1">
      <alignment/>
    </xf>
    <xf numFmtId="4" fontId="14" fillId="0" borderId="0" xfId="0" applyNumberFormat="1" applyFont="1" applyAlignment="1">
      <alignment horizontal="center"/>
    </xf>
    <xf numFmtId="0" fontId="28" fillId="0" borderId="0" xfId="0" applyFont="1" applyAlignment="1">
      <alignment/>
    </xf>
    <xf numFmtId="4" fontId="28" fillId="0" borderId="0" xfId="0" applyNumberFormat="1" applyFont="1" applyAlignment="1">
      <alignment horizontal="center"/>
    </xf>
    <xf numFmtId="4" fontId="29" fillId="0" borderId="0" xfId="0" applyNumberFormat="1" applyFont="1" applyAlignment="1">
      <alignment horizontal="center"/>
    </xf>
    <xf numFmtId="0" fontId="29" fillId="0" borderId="0" xfId="0" applyFont="1" applyAlignment="1">
      <alignment/>
    </xf>
    <xf numFmtId="49" fontId="29" fillId="0" borderId="0" xfId="0" applyNumberFormat="1" applyFont="1" applyAlignment="1">
      <alignment/>
    </xf>
    <xf numFmtId="4" fontId="29" fillId="0" borderId="0" xfId="0" applyNumberFormat="1" applyFont="1" applyAlignment="1">
      <alignment horizontal="center"/>
    </xf>
    <xf numFmtId="0" fontId="29" fillId="0" borderId="123" xfId="0" applyFont="1" applyBorder="1" applyAlignment="1">
      <alignment horizontal="center" vertical="center" wrapText="1"/>
    </xf>
    <xf numFmtId="49" fontId="29" fillId="0" borderId="124" xfId="0" applyNumberFormat="1" applyFont="1" applyBorder="1" applyAlignment="1">
      <alignment horizontal="center" vertical="center" wrapText="1"/>
    </xf>
    <xf numFmtId="0" fontId="29" fillId="0" borderId="125" xfId="0" applyFont="1" applyBorder="1" applyAlignment="1">
      <alignment horizontal="center" vertical="center" wrapText="1"/>
    </xf>
    <xf numFmtId="4" fontId="29" fillId="0" borderId="126" xfId="0" applyNumberFormat="1" applyFont="1" applyBorder="1" applyAlignment="1">
      <alignment horizontal="center" vertical="center" wrapText="1"/>
    </xf>
    <xf numFmtId="0" fontId="29" fillId="0" borderId="127" xfId="0" applyFont="1" applyBorder="1" applyAlignment="1">
      <alignment horizontal="center" vertical="center" wrapText="1"/>
    </xf>
    <xf numFmtId="49" fontId="29" fillId="0" borderId="78" xfId="0" applyNumberFormat="1" applyFont="1" applyBorder="1" applyAlignment="1">
      <alignment horizontal="center" vertical="center" wrapText="1"/>
    </xf>
    <xf numFmtId="0" fontId="29" fillId="0" borderId="79" xfId="0" applyFont="1" applyBorder="1" applyAlignment="1">
      <alignment horizontal="center" vertical="center" wrapText="1"/>
    </xf>
    <xf numFmtId="49" fontId="14" fillId="0" borderId="82" xfId="0" applyNumberFormat="1" applyFont="1" applyBorder="1" applyAlignment="1">
      <alignment horizontal="center" vertical="center"/>
    </xf>
    <xf numFmtId="4" fontId="2" fillId="0" borderId="14" xfId="0" applyNumberFormat="1" applyFont="1" applyBorder="1" applyAlignment="1">
      <alignment horizontal="center"/>
    </xf>
    <xf numFmtId="49" fontId="14" fillId="0" borderId="128" xfId="0" applyNumberFormat="1" applyFont="1" applyBorder="1" applyAlignment="1">
      <alignment horizontal="center" vertical="center"/>
    </xf>
    <xf numFmtId="49" fontId="14" fillId="33" borderId="15" xfId="0" applyNumberFormat="1" applyFont="1" applyFill="1" applyBorder="1" applyAlignment="1">
      <alignment horizontal="center" vertical="center"/>
    </xf>
    <xf numFmtId="0" fontId="13" fillId="33" borderId="10" xfId="0" applyFont="1" applyFill="1" applyBorder="1" applyAlignment="1">
      <alignment/>
    </xf>
    <xf numFmtId="4" fontId="2" fillId="33" borderId="14" xfId="0" applyNumberFormat="1" applyFont="1" applyFill="1" applyBorder="1" applyAlignment="1">
      <alignment horizontal="center"/>
    </xf>
    <xf numFmtId="0" fontId="14" fillId="0" borderId="10" xfId="0" applyFont="1" applyBorder="1" applyAlignment="1">
      <alignment/>
    </xf>
    <xf numFmtId="49" fontId="14" fillId="0" borderId="10" xfId="0" applyNumberFormat="1" applyFont="1" applyBorder="1" applyAlignment="1">
      <alignment horizontal="center" vertical="center"/>
    </xf>
    <xf numFmtId="0" fontId="14" fillId="0" borderId="10" xfId="0" applyFont="1" applyFill="1" applyBorder="1" applyAlignment="1">
      <alignment/>
    </xf>
    <xf numFmtId="4" fontId="2" fillId="0" borderId="10" xfId="0" applyNumberFormat="1" applyFont="1" applyFill="1" applyBorder="1" applyAlignment="1">
      <alignment horizontal="center"/>
    </xf>
    <xf numFmtId="49" fontId="14" fillId="33" borderId="10" xfId="0" applyNumberFormat="1" applyFont="1" applyFill="1" applyBorder="1" applyAlignment="1">
      <alignment horizontal="center" vertical="center"/>
    </xf>
    <xf numFmtId="0" fontId="13" fillId="33" borderId="10" xfId="0" applyFont="1" applyFill="1" applyBorder="1" applyAlignment="1">
      <alignment horizontal="center"/>
    </xf>
    <xf numFmtId="0" fontId="14" fillId="33" borderId="10" xfId="0" applyFont="1" applyFill="1" applyBorder="1" applyAlignment="1">
      <alignment/>
    </xf>
    <xf numFmtId="4" fontId="2" fillId="33" borderId="10" xfId="0" applyNumberFormat="1" applyFont="1" applyFill="1" applyBorder="1" applyAlignment="1">
      <alignment horizontal="center"/>
    </xf>
    <xf numFmtId="49" fontId="14" fillId="0" borderId="121" xfId="0" applyNumberFormat="1" applyFont="1" applyBorder="1" applyAlignment="1">
      <alignment horizontal="center" vertical="center"/>
    </xf>
    <xf numFmtId="0" fontId="13" fillId="0" borderId="11" xfId="0" applyFont="1" applyBorder="1" applyAlignment="1">
      <alignment horizontal="center"/>
    </xf>
    <xf numFmtId="0" fontId="14" fillId="0" borderId="11" xfId="0" applyFont="1" applyBorder="1" applyAlignment="1">
      <alignment/>
    </xf>
    <xf numFmtId="4" fontId="2" fillId="0" borderId="21" xfId="0" applyNumberFormat="1" applyFont="1" applyBorder="1" applyAlignment="1">
      <alignment horizontal="center"/>
    </xf>
    <xf numFmtId="0" fontId="14" fillId="33" borderId="129" xfId="0" applyFont="1" applyFill="1" applyBorder="1" applyAlignment="1">
      <alignment/>
    </xf>
    <xf numFmtId="4" fontId="2" fillId="33" borderId="37" xfId="0" applyNumberFormat="1" applyFont="1" applyFill="1" applyBorder="1" applyAlignment="1">
      <alignment horizontal="center"/>
    </xf>
    <xf numFmtId="0" fontId="14" fillId="0" borderId="79" xfId="0" applyFont="1" applyBorder="1" applyAlignment="1">
      <alignment/>
    </xf>
    <xf numFmtId="4" fontId="2" fillId="0" borderId="31" xfId="0" applyNumberFormat="1" applyFont="1" applyBorder="1" applyAlignment="1">
      <alignment horizontal="center"/>
    </xf>
    <xf numFmtId="0" fontId="14" fillId="0" borderId="122" xfId="0" applyFont="1" applyBorder="1" applyAlignment="1">
      <alignment/>
    </xf>
    <xf numFmtId="4" fontId="2" fillId="0" borderId="130" xfId="0" applyNumberFormat="1" applyFont="1" applyBorder="1" applyAlignment="1">
      <alignment horizontal="center"/>
    </xf>
    <xf numFmtId="0" fontId="14" fillId="33" borderId="131" xfId="0" applyFont="1" applyFill="1" applyBorder="1" applyAlignment="1">
      <alignment/>
    </xf>
    <xf numFmtId="0" fontId="14" fillId="33" borderId="16" xfId="0" applyFont="1" applyFill="1" applyBorder="1" applyAlignment="1">
      <alignment/>
    </xf>
    <xf numFmtId="4" fontId="2" fillId="33" borderId="22" xfId="0" applyNumberFormat="1" applyFont="1" applyFill="1" applyBorder="1" applyAlignment="1">
      <alignment horizontal="center"/>
    </xf>
    <xf numFmtId="0" fontId="14" fillId="0" borderId="0" xfId="0" applyFont="1" applyBorder="1" applyAlignment="1">
      <alignment horizontal="center" vertical="center"/>
    </xf>
    <xf numFmtId="49" fontId="70" fillId="0" borderId="0" xfId="0" applyNumberFormat="1" applyFont="1" applyFill="1" applyBorder="1" applyAlignment="1">
      <alignment horizontal="center" vertical="center"/>
    </xf>
    <xf numFmtId="0" fontId="70" fillId="0" borderId="0" xfId="0" applyFont="1" applyFill="1" applyBorder="1" applyAlignment="1">
      <alignment/>
    </xf>
    <xf numFmtId="4" fontId="70" fillId="0" borderId="0" xfId="0" applyNumberFormat="1" applyFont="1" applyFill="1" applyBorder="1" applyAlignment="1">
      <alignment horizontal="center"/>
    </xf>
    <xf numFmtId="4" fontId="2" fillId="0" borderId="0" xfId="0" applyNumberFormat="1" applyFont="1" applyAlignment="1">
      <alignment horizontal="center"/>
    </xf>
    <xf numFmtId="1" fontId="29" fillId="0" borderId="31" xfId="0" applyNumberFormat="1" applyFont="1" applyBorder="1" applyAlignment="1">
      <alignment horizontal="center" vertical="center" wrapText="1"/>
    </xf>
    <xf numFmtId="0" fontId="5" fillId="0" borderId="30" xfId="0" applyFont="1" applyBorder="1" applyAlignment="1">
      <alignment horizontal="center" vertical="center" wrapText="1"/>
    </xf>
    <xf numFmtId="49" fontId="13" fillId="0" borderId="13" xfId="0" applyNumberFormat="1" applyFont="1" applyBorder="1" applyAlignment="1">
      <alignment horizontal="center" vertical="center"/>
    </xf>
    <xf numFmtId="0" fontId="13" fillId="0" borderId="14" xfId="0" applyFont="1" applyBorder="1" applyAlignment="1">
      <alignment horizontal="center"/>
    </xf>
    <xf numFmtId="0" fontId="5" fillId="0" borderId="0" xfId="0" applyFont="1" applyAlignment="1">
      <alignment/>
    </xf>
    <xf numFmtId="0" fontId="13" fillId="0" borderId="11" xfId="0" applyFont="1" applyBorder="1" applyAlignment="1">
      <alignment/>
    </xf>
    <xf numFmtId="0" fontId="13" fillId="0" borderId="21" xfId="0" applyFont="1" applyBorder="1" applyAlignment="1">
      <alignment horizontal="center"/>
    </xf>
    <xf numFmtId="0" fontId="5" fillId="0" borderId="123" xfId="0" applyFont="1" applyFill="1" applyBorder="1" applyAlignment="1">
      <alignment horizontal="center" vertical="center" wrapText="1"/>
    </xf>
    <xf numFmtId="49" fontId="13" fillId="0" borderId="132" xfId="0" applyNumberFormat="1" applyFont="1" applyBorder="1" applyAlignment="1">
      <alignment horizontal="center" vertical="center"/>
    </xf>
    <xf numFmtId="0" fontId="13" fillId="0" borderId="122" xfId="0" applyFont="1" applyBorder="1" applyAlignment="1">
      <alignment horizontal="left" vertical="center" wrapText="1"/>
    </xf>
    <xf numFmtId="0" fontId="13" fillId="0" borderId="122" xfId="0" applyFont="1" applyBorder="1" applyAlignment="1">
      <alignment horizontal="center"/>
    </xf>
    <xf numFmtId="0" fontId="13" fillId="0" borderId="122" xfId="0" applyFont="1" applyBorder="1" applyAlignment="1">
      <alignment/>
    </xf>
    <xf numFmtId="0" fontId="13" fillId="0" borderId="130" xfId="0" applyFont="1" applyBorder="1" applyAlignment="1">
      <alignment horizontal="center"/>
    </xf>
    <xf numFmtId="49" fontId="5" fillId="0" borderId="123" xfId="0" applyNumberFormat="1" applyFont="1" applyBorder="1" applyAlignment="1">
      <alignment horizontal="center" vertical="center"/>
    </xf>
    <xf numFmtId="0" fontId="5" fillId="0" borderId="123" xfId="0" applyFont="1" applyBorder="1" applyAlignment="1">
      <alignment horizontal="left" vertical="center"/>
    </xf>
    <xf numFmtId="0" fontId="5" fillId="0" borderId="123" xfId="0" applyFont="1" applyBorder="1" applyAlignment="1">
      <alignment horizontal="center"/>
    </xf>
    <xf numFmtId="0" fontId="5" fillId="0" borderId="123" xfId="0" applyFont="1" applyBorder="1" applyAlignment="1">
      <alignment/>
    </xf>
    <xf numFmtId="0" fontId="13" fillId="0" borderId="10" xfId="0" applyFont="1" applyBorder="1" applyAlignment="1">
      <alignment/>
    </xf>
    <xf numFmtId="0" fontId="13" fillId="0" borderId="10" xfId="0" applyFont="1" applyBorder="1" applyAlignment="1">
      <alignment horizontal="center"/>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horizontal="center"/>
    </xf>
    <xf numFmtId="3" fontId="13" fillId="0" borderId="10" xfId="0" applyNumberFormat="1" applyFont="1" applyBorder="1" applyAlignment="1">
      <alignment horizontal="center" wrapText="1"/>
    </xf>
    <xf numFmtId="184" fontId="2" fillId="0" borderId="10" xfId="44" applyNumberFormat="1" applyFont="1" applyBorder="1" applyAlignment="1">
      <alignment horizontal="center"/>
    </xf>
    <xf numFmtId="179" fontId="2" fillId="0" borderId="10" xfId="44" applyFont="1" applyBorder="1" applyAlignment="1">
      <alignment horizontal="center"/>
    </xf>
    <xf numFmtId="3" fontId="2" fillId="0" borderId="10" xfId="44" applyNumberFormat="1" applyFont="1" applyBorder="1" applyAlignment="1">
      <alignment horizontal="center"/>
    </xf>
    <xf numFmtId="3" fontId="1" fillId="0" borderId="10" xfId="0" applyNumberFormat="1" applyFont="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49" fontId="14" fillId="33" borderId="132" xfId="0" applyNumberFormat="1" applyFont="1" applyFill="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xf>
    <xf numFmtId="0" fontId="1" fillId="0" borderId="30" xfId="0" applyFont="1" applyBorder="1" applyAlignment="1">
      <alignment horizontal="center" vertical="center" wrapText="1"/>
    </xf>
    <xf numFmtId="0" fontId="9" fillId="0" borderId="13" xfId="0" applyFont="1" applyBorder="1" applyAlignment="1">
      <alignment horizontal="center" vertical="center"/>
    </xf>
    <xf numFmtId="0" fontId="4" fillId="0" borderId="13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0" borderId="79" xfId="0" applyFont="1" applyBorder="1" applyAlignment="1">
      <alignment horizontal="center" vertical="center" wrapText="1"/>
    </xf>
    <xf numFmtId="0" fontId="9" fillId="0" borderId="10" xfId="0" applyFont="1" applyBorder="1" applyAlignment="1">
      <alignment horizontal="center" vertical="center"/>
    </xf>
    <xf numFmtId="0" fontId="1" fillId="0" borderId="13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34"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3" fontId="1" fillId="0" borderId="135" xfId="0" applyNumberFormat="1" applyFont="1" applyFill="1" applyBorder="1" applyAlignment="1">
      <alignment horizontal="center" vertical="center" wrapText="1"/>
    </xf>
    <xf numFmtId="3" fontId="1" fillId="0" borderId="136" xfId="0" applyNumberFormat="1" applyFont="1" applyFill="1" applyBorder="1" applyAlignment="1">
      <alignment horizontal="center" vertical="center" wrapText="1"/>
    </xf>
    <xf numFmtId="0" fontId="1" fillId="0" borderId="133" xfId="0" applyFont="1" applyBorder="1" applyAlignment="1">
      <alignment horizontal="center" vertical="center" wrapText="1"/>
    </xf>
    <xf numFmtId="0" fontId="1"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xf>
    <xf numFmtId="182" fontId="5" fillId="0" borderId="30" xfId="0" applyNumberFormat="1" applyFont="1" applyBorder="1" applyAlignment="1">
      <alignment horizontal="center" vertical="center" wrapText="1"/>
    </xf>
    <xf numFmtId="182" fontId="5" fillId="0" borderId="13" xfId="0" applyNumberFormat="1" applyFont="1" applyBorder="1" applyAlignment="1">
      <alignment horizontal="center" vertical="center" wrapText="1"/>
    </xf>
    <xf numFmtId="0" fontId="5" fillId="0" borderId="79" xfId="0" applyFont="1" applyBorder="1" applyAlignment="1">
      <alignment horizontal="center" vertical="center" wrapText="1"/>
    </xf>
    <xf numFmtId="0" fontId="5" fillId="0" borderId="10" xfId="0" applyFont="1" applyBorder="1" applyAlignment="1">
      <alignment horizontal="center" vertical="center" wrapText="1"/>
    </xf>
    <xf numFmtId="3" fontId="1" fillId="0" borderId="137" xfId="0" applyNumberFormat="1" applyFont="1" applyFill="1" applyBorder="1" applyAlignment="1">
      <alignment horizontal="center" vertical="center" wrapText="1"/>
    </xf>
    <xf numFmtId="0" fontId="5" fillId="0" borderId="134"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3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34"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10" xfId="58" applyFont="1" applyBorder="1" applyAlignment="1">
      <alignment horizontal="center" vertical="center" wrapText="1"/>
      <protection/>
    </xf>
    <xf numFmtId="0" fontId="4" fillId="0" borderId="1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8" xfId="0" applyFont="1" applyFill="1" applyBorder="1" applyAlignment="1">
      <alignment horizontal="center" vertical="center" wrapText="1"/>
    </xf>
    <xf numFmtId="0" fontId="5" fillId="0" borderId="0" xfId="0" applyFont="1" applyBorder="1" applyAlignment="1">
      <alignment horizontal="center"/>
    </xf>
    <xf numFmtId="0" fontId="1" fillId="0" borderId="3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4" xfId="0" applyFont="1" applyFill="1" applyBorder="1" applyAlignment="1">
      <alignment horizontal="center" vertical="center" wrapText="1"/>
    </xf>
    <xf numFmtId="0" fontId="1" fillId="0" borderId="13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9" xfId="0" applyFont="1" applyBorder="1" applyAlignment="1">
      <alignment horizontal="center" vertical="center"/>
    </xf>
    <xf numFmtId="0" fontId="1" fillId="0" borderId="35" xfId="0" applyFont="1" applyBorder="1" applyAlignment="1">
      <alignment horizontal="center" vertical="center"/>
    </xf>
    <xf numFmtId="0" fontId="1" fillId="0" borderId="139"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27" xfId="0" applyFont="1" applyBorder="1" applyAlignment="1">
      <alignment horizontal="center" vertical="center" wrapText="1"/>
    </xf>
    <xf numFmtId="0" fontId="16" fillId="0" borderId="30" xfId="0" applyFont="1" applyBorder="1" applyAlignment="1">
      <alignment horizontal="center" vertical="center"/>
    </xf>
    <xf numFmtId="0" fontId="16" fillId="0" borderId="13" xfId="0" applyFont="1" applyBorder="1" applyAlignment="1">
      <alignment horizontal="center" vertical="center"/>
    </xf>
    <xf numFmtId="0" fontId="16" fillId="0" borderId="141" xfId="0" applyFont="1" applyBorder="1" applyAlignment="1">
      <alignment horizontal="center" vertical="center"/>
    </xf>
    <xf numFmtId="0" fontId="16" fillId="0" borderId="135" xfId="0" applyFont="1" applyBorder="1" applyAlignment="1">
      <alignment horizontal="center" vertical="center"/>
    </xf>
    <xf numFmtId="0" fontId="16" fillId="0" borderId="142" xfId="0" applyFont="1" applyBorder="1" applyAlignment="1">
      <alignment horizontal="center" vertical="center"/>
    </xf>
    <xf numFmtId="0" fontId="16" fillId="0" borderId="90" xfId="0" applyFont="1" applyBorder="1" applyAlignment="1">
      <alignment horizontal="center" vertical="center"/>
    </xf>
    <xf numFmtId="0" fontId="16" fillId="0" borderId="143" xfId="0" applyFont="1" applyBorder="1" applyAlignment="1">
      <alignment horizontal="center" vertical="center"/>
    </xf>
    <xf numFmtId="0" fontId="16" fillId="0" borderId="144" xfId="0" applyFont="1" applyBorder="1" applyAlignment="1">
      <alignment horizontal="center" vertical="center"/>
    </xf>
    <xf numFmtId="0" fontId="16" fillId="0" borderId="145" xfId="0" applyFont="1" applyBorder="1" applyAlignment="1">
      <alignment horizontal="center" vertical="center"/>
    </xf>
    <xf numFmtId="3" fontId="16" fillId="0" borderId="78" xfId="0" applyNumberFormat="1" applyFont="1" applyBorder="1" applyAlignment="1">
      <alignment horizontal="center" vertical="center"/>
    </xf>
    <xf numFmtId="3" fontId="16" fillId="0" borderId="79" xfId="0" applyNumberFormat="1" applyFont="1" applyBorder="1" applyAlignment="1">
      <alignment horizontal="center" vertical="center"/>
    </xf>
    <xf numFmtId="3" fontId="16" fillId="0" borderId="82" xfId="0" applyNumberFormat="1" applyFont="1" applyBorder="1" applyAlignment="1">
      <alignment horizontal="center" vertical="center"/>
    </xf>
    <xf numFmtId="3" fontId="16" fillId="0" borderId="10" xfId="0" applyNumberFormat="1" applyFont="1" applyBorder="1" applyAlignment="1">
      <alignment horizontal="center" vertical="center"/>
    </xf>
    <xf numFmtId="3" fontId="17" fillId="0" borderId="79" xfId="0" applyNumberFormat="1" applyFont="1" applyBorder="1" applyAlignment="1">
      <alignment horizontal="center" vertical="center"/>
    </xf>
    <xf numFmtId="3" fontId="17" fillId="0" borderId="31" xfId="0" applyNumberFormat="1" applyFont="1" applyBorder="1" applyAlignment="1">
      <alignment horizontal="center" vertical="center"/>
    </xf>
    <xf numFmtId="3" fontId="17" fillId="0" borderId="10" xfId="0" applyNumberFormat="1" applyFont="1" applyBorder="1" applyAlignment="1">
      <alignment horizontal="center" vertical="center"/>
    </xf>
    <xf numFmtId="3" fontId="17" fillId="0" borderId="14" xfId="0" applyNumberFormat="1" applyFont="1" applyBorder="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left" vertical="center"/>
    </xf>
    <xf numFmtId="0" fontId="9" fillId="0" borderId="146" xfId="0" applyFont="1" applyBorder="1" applyAlignment="1">
      <alignment horizontal="left" vertical="center"/>
    </xf>
    <xf numFmtId="0" fontId="9" fillId="0" borderId="137" xfId="0" applyFont="1" applyBorder="1" applyAlignment="1">
      <alignment horizontal="left" vertical="center"/>
    </xf>
    <xf numFmtId="0" fontId="9" fillId="0" borderId="147" xfId="0" applyFont="1" applyBorder="1" applyAlignment="1">
      <alignment horizontal="left" vertical="center"/>
    </xf>
    <xf numFmtId="0" fontId="9" fillId="0" borderId="85" xfId="0" applyFont="1" applyBorder="1" applyAlignment="1">
      <alignment horizontal="left" vertical="center"/>
    </xf>
    <xf numFmtId="0" fontId="9" fillId="0" borderId="148"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top"/>
    </xf>
    <xf numFmtId="0" fontId="5" fillId="0" borderId="10" xfId="0" applyFont="1" applyBorder="1" applyAlignment="1">
      <alignment horizontal="center"/>
    </xf>
    <xf numFmtId="0" fontId="5" fillId="0" borderId="0" xfId="0" applyFont="1" applyAlignment="1">
      <alignment horizontal="center"/>
    </xf>
    <xf numFmtId="0" fontId="5" fillId="0" borderId="1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49" xfId="0" applyFont="1" applyFill="1" applyBorder="1" applyAlignment="1">
      <alignment horizontal="center" vertical="center" wrapText="1"/>
    </xf>
    <xf numFmtId="0" fontId="1" fillId="0" borderId="128" xfId="0" applyFont="1" applyFill="1" applyBorder="1" applyAlignment="1">
      <alignment horizontal="center" vertical="center" wrapText="1"/>
    </xf>
    <xf numFmtId="0" fontId="1" fillId="0" borderId="137" xfId="0" applyFont="1" applyFill="1" applyBorder="1" applyAlignment="1">
      <alignment horizontal="center" vertical="center" wrapText="1"/>
    </xf>
    <xf numFmtId="0" fontId="1" fillId="0" borderId="121" xfId="0" applyFont="1" applyFill="1" applyBorder="1" applyAlignment="1">
      <alignment horizontal="center" vertical="center" wrapText="1"/>
    </xf>
    <xf numFmtId="0" fontId="13" fillId="0" borderId="10" xfId="0" applyFont="1" applyBorder="1" applyAlignment="1">
      <alignment horizontal="center"/>
    </xf>
    <xf numFmtId="0" fontId="13" fillId="0" borderId="10"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1" fillId="0" borderId="0" xfId="0" applyFont="1" applyAlignment="1">
      <alignment horizontal="center"/>
    </xf>
    <xf numFmtId="0" fontId="1" fillId="0" borderId="149" xfId="0" applyFont="1" applyBorder="1" applyAlignment="1">
      <alignment horizontal="center" vertical="center" wrapText="1"/>
    </xf>
    <xf numFmtId="0" fontId="1" fillId="0" borderId="137" xfId="0" applyFont="1" applyBorder="1" applyAlignment="1">
      <alignment horizontal="center" vertical="center" wrapText="1"/>
    </xf>
    <xf numFmtId="0" fontId="1" fillId="0" borderId="0" xfId="0" applyFont="1" applyAlignment="1">
      <alignment horizontal="right"/>
    </xf>
    <xf numFmtId="0" fontId="1" fillId="0" borderId="10" xfId="0" applyFont="1" applyBorder="1" applyAlignment="1">
      <alignment horizontal="center" vertical="center" wrapText="1"/>
    </xf>
    <xf numFmtId="0" fontId="1" fillId="0" borderId="8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Alignment="1">
      <alignment horizontal="right"/>
    </xf>
    <xf numFmtId="0" fontId="2" fillId="0" borderId="0" xfId="0" applyFont="1" applyAlignment="1">
      <alignment horizontal="left" wrapText="1"/>
    </xf>
    <xf numFmtId="0" fontId="2" fillId="0" borderId="0" xfId="0" applyFont="1" applyAlignment="1">
      <alignment horizontal="left" vertical="center" wrapText="1"/>
    </xf>
    <xf numFmtId="0" fontId="1" fillId="0" borderId="12" xfId="0" applyFont="1" applyFill="1" applyBorder="1" applyAlignment="1">
      <alignment horizontal="center" vertical="center" wrapText="1"/>
    </xf>
    <xf numFmtId="0" fontId="1" fillId="0" borderId="138"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 fillId="0" borderId="1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0" xfId="0" applyFont="1" applyBorder="1" applyAlignment="1">
      <alignment horizontal="center" wrapText="1" shrinkToFit="1"/>
    </xf>
    <xf numFmtId="0" fontId="1" fillId="0" borderId="122"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0" xfId="0" applyFont="1" applyBorder="1" applyAlignment="1">
      <alignment horizontal="center" vertical="center"/>
    </xf>
    <xf numFmtId="0" fontId="14" fillId="0" borderId="151" xfId="0" applyFont="1" applyBorder="1" applyAlignment="1">
      <alignment horizontal="center" vertical="center"/>
    </xf>
    <xf numFmtId="0" fontId="14" fillId="0" borderId="152" xfId="0" applyFont="1" applyBorder="1" applyAlignment="1">
      <alignment horizontal="center" vertical="center"/>
    </xf>
    <xf numFmtId="0" fontId="14" fillId="0" borderId="153" xfId="0" applyFont="1" applyBorder="1" applyAlignment="1">
      <alignment horizontal="center" vertical="center"/>
    </xf>
    <xf numFmtId="0" fontId="14" fillId="0" borderId="154" xfId="0" applyFont="1" applyBorder="1" applyAlignment="1">
      <alignment horizontal="center" vertical="center"/>
    </xf>
    <xf numFmtId="0" fontId="30" fillId="0" borderId="0" xfId="0" applyFont="1" applyAlignment="1">
      <alignment horizontal="center"/>
    </xf>
    <xf numFmtId="0" fontId="14" fillId="0" borderId="155" xfId="0" applyFont="1" applyBorder="1" applyAlignment="1">
      <alignment horizontal="center" vertical="center" wrapText="1"/>
    </xf>
    <xf numFmtId="0" fontId="14" fillId="0" borderId="152" xfId="0" applyFont="1" applyBorder="1" applyAlignment="1">
      <alignment horizontal="center" vertical="center" wrapText="1"/>
    </xf>
    <xf numFmtId="0" fontId="14" fillId="0" borderId="154" xfId="0" applyFont="1" applyBorder="1" applyAlignment="1">
      <alignment horizontal="center" vertical="center" wrapText="1"/>
    </xf>
    <xf numFmtId="0" fontId="14" fillId="0" borderId="156" xfId="0" applyFont="1" applyBorder="1" applyAlignment="1">
      <alignment horizontal="center" vertical="center"/>
    </xf>
    <xf numFmtId="0" fontId="14" fillId="0" borderId="91" xfId="0" applyFont="1" applyBorder="1" applyAlignment="1">
      <alignment horizontal="center" vertical="center"/>
    </xf>
    <xf numFmtId="0" fontId="24" fillId="0" borderId="0" xfId="58" applyFont="1" applyAlignment="1">
      <alignment horizontal="left" wrapText="1"/>
      <protection/>
    </xf>
    <xf numFmtId="0" fontId="26" fillId="0" borderId="13" xfId="58" applyFont="1" applyBorder="1" applyAlignment="1">
      <alignment vertical="center" wrapText="1"/>
      <protection/>
    </xf>
    <xf numFmtId="0" fontId="24" fillId="0" borderId="122" xfId="58" applyFont="1" applyBorder="1" applyAlignment="1">
      <alignment horizontal="left" vertical="center" wrapText="1"/>
      <protection/>
    </xf>
    <xf numFmtId="0" fontId="24" fillId="0" borderId="11" xfId="58" applyFont="1" applyBorder="1" applyAlignment="1">
      <alignment horizontal="left" vertical="center" wrapText="1"/>
      <protection/>
    </xf>
    <xf numFmtId="0" fontId="24" fillId="0" borderId="10" xfId="58" applyFont="1" applyBorder="1" applyAlignment="1">
      <alignment horizontal="center" vertical="center" wrapText="1"/>
      <protection/>
    </xf>
    <xf numFmtId="3" fontId="24" fillId="0" borderId="10" xfId="58" applyNumberFormat="1" applyFont="1" applyBorder="1" applyAlignment="1">
      <alignment horizontal="center" vertical="center" wrapText="1"/>
      <protection/>
    </xf>
    <xf numFmtId="3" fontId="27" fillId="0" borderId="10" xfId="58" applyNumberFormat="1" applyFont="1" applyBorder="1" applyAlignment="1">
      <alignment horizontal="center" vertical="center" wrapText="1"/>
      <protection/>
    </xf>
    <xf numFmtId="3" fontId="27" fillId="0" borderId="14" xfId="58" applyNumberFormat="1" applyFont="1" applyBorder="1" applyAlignment="1">
      <alignment horizontal="center" vertical="center" wrapText="1"/>
      <protection/>
    </xf>
    <xf numFmtId="3" fontId="27" fillId="0" borderId="130" xfId="58" applyNumberFormat="1" applyFont="1" applyBorder="1" applyAlignment="1">
      <alignment horizontal="center" vertical="center" wrapText="1"/>
      <protection/>
    </xf>
    <xf numFmtId="3" fontId="27" fillId="0" borderId="21" xfId="58" applyNumberFormat="1" applyFont="1" applyBorder="1" applyAlignment="1">
      <alignment horizontal="center" vertical="center" wrapText="1"/>
      <protection/>
    </xf>
    <xf numFmtId="0" fontId="26" fillId="33" borderId="132" xfId="58" applyFont="1" applyFill="1" applyBorder="1" applyAlignment="1">
      <alignment horizontal="left" vertical="center" wrapText="1"/>
      <protection/>
    </xf>
    <xf numFmtId="0" fontId="26" fillId="33" borderId="120" xfId="58" applyFont="1" applyFill="1" applyBorder="1" applyAlignment="1">
      <alignment horizontal="left" vertical="center" wrapText="1"/>
      <protection/>
    </xf>
    <xf numFmtId="0" fontId="25" fillId="33" borderId="10" xfId="58" applyFont="1" applyFill="1" applyBorder="1" applyAlignment="1">
      <alignment vertical="center" wrapText="1"/>
      <protection/>
    </xf>
    <xf numFmtId="0" fontId="25" fillId="33" borderId="10" xfId="58" applyFont="1" applyFill="1" applyBorder="1" applyAlignment="1">
      <alignment horizontal="center" vertical="center" wrapText="1"/>
      <protection/>
    </xf>
    <xf numFmtId="3" fontId="27" fillId="33" borderId="10" xfId="58" applyNumberFormat="1" applyFont="1" applyFill="1" applyBorder="1" applyAlignment="1">
      <alignment horizontal="center" vertical="center" wrapText="1"/>
      <protection/>
    </xf>
    <xf numFmtId="3" fontId="27" fillId="33" borderId="14" xfId="58" applyNumberFormat="1" applyFont="1" applyFill="1" applyBorder="1" applyAlignment="1">
      <alignment horizontal="center" vertical="center" wrapText="1"/>
      <protection/>
    </xf>
    <xf numFmtId="0" fontId="1" fillId="0" borderId="0" xfId="58" applyFont="1" applyAlignment="1">
      <alignment horizontal="center" vertical="center" wrapText="1"/>
      <protection/>
    </xf>
    <xf numFmtId="0" fontId="24" fillId="0" borderId="0" xfId="58" applyFont="1" applyAlignment="1">
      <alignment horizontal="center"/>
      <protection/>
    </xf>
    <xf numFmtId="0" fontId="24" fillId="0" borderId="30" xfId="58" applyFont="1" applyBorder="1" applyAlignment="1">
      <alignment horizontal="center" vertical="center" wrapText="1"/>
      <protection/>
    </xf>
    <xf numFmtId="0" fontId="24" fillId="0" borderId="15" xfId="58" applyFont="1" applyBorder="1" applyAlignment="1">
      <alignment horizontal="center" vertical="center" wrapText="1"/>
      <protection/>
    </xf>
    <xf numFmtId="0" fontId="26" fillId="0" borderId="79" xfId="58" applyFont="1" applyBorder="1" applyAlignment="1">
      <alignment horizontal="center" vertical="center" wrapText="1"/>
      <protection/>
    </xf>
    <xf numFmtId="0" fontId="26" fillId="0" borderId="16" xfId="58" applyFont="1" applyBorder="1" applyAlignment="1">
      <alignment horizontal="center" vertical="center" wrapText="1"/>
      <protection/>
    </xf>
    <xf numFmtId="0" fontId="24" fillId="0" borderId="79" xfId="58" applyFont="1" applyBorder="1" applyAlignment="1">
      <alignment horizontal="center" vertical="center" wrapText="1"/>
      <protection/>
    </xf>
    <xf numFmtId="0" fontId="24" fillId="0" borderId="16" xfId="58" applyFont="1" applyBorder="1" applyAlignment="1">
      <alignment horizontal="center" vertical="center" wrapText="1"/>
      <protection/>
    </xf>
    <xf numFmtId="0" fontId="24" fillId="0" borderId="133" xfId="58" applyFont="1" applyBorder="1" applyAlignment="1">
      <alignment horizontal="center" vertical="center" wrapText="1"/>
      <protection/>
    </xf>
    <xf numFmtId="0" fontId="24" fillId="0" borderId="157" xfId="58"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45</xdr:row>
      <xdr:rowOff>0</xdr:rowOff>
    </xdr:from>
    <xdr:to>
      <xdr:col>9</xdr:col>
      <xdr:colOff>0</xdr:colOff>
      <xdr:row>45</xdr:row>
      <xdr:rowOff>0</xdr:rowOff>
    </xdr:to>
    <xdr:sp>
      <xdr:nvSpPr>
        <xdr:cNvPr id="1" name="Line 3"/>
        <xdr:cNvSpPr>
          <a:spLocks/>
        </xdr:cNvSpPr>
      </xdr:nvSpPr>
      <xdr:spPr>
        <a:xfrm>
          <a:off x="16754475" y="14649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J91"/>
  <sheetViews>
    <sheetView view="pageBreakPreview" zoomScale="70" zoomScaleNormal="75" zoomScaleSheetLayoutView="70" workbookViewId="0" topLeftCell="A69">
      <selection activeCell="B2" sqref="B2:J92"/>
    </sheetView>
  </sheetViews>
  <sheetFormatPr defaultColWidth="9.140625" defaultRowHeight="12.75"/>
  <cols>
    <col min="1" max="1" width="9.140625" style="2" customWidth="1"/>
    <col min="2" max="2" width="15.8515625" style="2" customWidth="1"/>
    <col min="3" max="3" width="103.00390625" style="2" bestFit="1" customWidth="1"/>
    <col min="4" max="4" width="22.28125" style="2" customWidth="1"/>
    <col min="5" max="5" width="22.00390625" style="2" customWidth="1"/>
    <col min="6" max="6" width="22.8515625" style="2" customWidth="1"/>
    <col min="7" max="7" width="19.00390625" style="2" customWidth="1"/>
    <col min="8" max="8" width="17.140625" style="2" customWidth="1"/>
    <col min="9" max="9" width="20.0039062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5" t="s">
        <v>9</v>
      </c>
    </row>
    <row r="3" spans="2:8" ht="15.75">
      <c r="B3" s="13" t="s">
        <v>869</v>
      </c>
      <c r="C3" s="22"/>
      <c r="E3" s="32"/>
      <c r="F3" s="32"/>
      <c r="G3" s="32"/>
      <c r="H3" s="32"/>
    </row>
    <row r="4" spans="2:8" ht="15.75">
      <c r="B4" s="13" t="s">
        <v>862</v>
      </c>
      <c r="C4" s="22"/>
      <c r="E4" s="32"/>
      <c r="F4" s="32"/>
      <c r="G4" s="32"/>
      <c r="H4" s="32"/>
    </row>
    <row r="5" spans="2:8" ht="15.75">
      <c r="B5" s="1"/>
      <c r="E5" s="32"/>
      <c r="F5" s="32"/>
      <c r="G5" s="32"/>
      <c r="H5" s="32"/>
    </row>
    <row r="6" spans="2:9" ht="18.75">
      <c r="B6" s="629" t="s">
        <v>1478</v>
      </c>
      <c r="C6" s="629"/>
      <c r="D6" s="629"/>
      <c r="E6" s="629"/>
      <c r="F6" s="629"/>
      <c r="G6" s="629"/>
      <c r="H6" s="629"/>
      <c r="I6" s="629"/>
    </row>
    <row r="7" spans="6:7" ht="15.75" hidden="1">
      <c r="F7" s="5"/>
      <c r="G7" s="5"/>
    </row>
    <row r="8" ht="15.75" hidden="1"/>
    <row r="9" ht="16.5" thickBot="1">
      <c r="I9" s="7" t="s">
        <v>280</v>
      </c>
    </row>
    <row r="10" spans="2:9" ht="44.25" customHeight="1">
      <c r="B10" s="630" t="s">
        <v>77</v>
      </c>
      <c r="C10" s="634" t="s">
        <v>0</v>
      </c>
      <c r="D10" s="634" t="s">
        <v>89</v>
      </c>
      <c r="E10" s="636" t="s">
        <v>1399</v>
      </c>
      <c r="F10" s="636" t="s">
        <v>1400</v>
      </c>
      <c r="G10" s="638" t="s">
        <v>1476</v>
      </c>
      <c r="H10" s="639"/>
      <c r="I10" s="632" t="s">
        <v>1477</v>
      </c>
    </row>
    <row r="11" spans="2:9" ht="38.25" customHeight="1">
      <c r="B11" s="631"/>
      <c r="C11" s="635"/>
      <c r="D11" s="640"/>
      <c r="E11" s="637"/>
      <c r="F11" s="637"/>
      <c r="G11" s="20" t="s">
        <v>1</v>
      </c>
      <c r="H11" s="41" t="s">
        <v>58</v>
      </c>
      <c r="I11" s="633"/>
    </row>
    <row r="12" spans="2:9" s="52" customFormat="1" ht="21" customHeight="1">
      <c r="B12" s="116">
        <v>1</v>
      </c>
      <c r="C12" s="51">
        <v>2</v>
      </c>
      <c r="D12" s="51">
        <v>3</v>
      </c>
      <c r="E12" s="150">
        <v>4</v>
      </c>
      <c r="F12" s="150">
        <v>5</v>
      </c>
      <c r="G12" s="150">
        <v>6</v>
      </c>
      <c r="H12" s="150">
        <v>7</v>
      </c>
      <c r="I12" s="117">
        <v>8</v>
      </c>
    </row>
    <row r="13" spans="2:9" s="60" customFormat="1" ht="18.75">
      <c r="B13" s="104"/>
      <c r="C13" s="105" t="s">
        <v>195</v>
      </c>
      <c r="D13" s="106"/>
      <c r="E13" s="150"/>
      <c r="F13" s="150"/>
      <c r="G13" s="150"/>
      <c r="H13" s="150"/>
      <c r="I13" s="76"/>
    </row>
    <row r="14" spans="2:9" s="61" customFormat="1" ht="32.25">
      <c r="B14" s="104" t="s">
        <v>196</v>
      </c>
      <c r="C14" s="105" t="s">
        <v>197</v>
      </c>
      <c r="D14" s="106">
        <v>1001</v>
      </c>
      <c r="E14" s="178">
        <v>665892</v>
      </c>
      <c r="F14" s="175">
        <f>F15+F22+F29+F30</f>
        <v>828084</v>
      </c>
      <c r="G14" s="175">
        <f>G15+G22+G29+G30</f>
        <v>371300</v>
      </c>
      <c r="H14" s="175">
        <f>H15+H22+H29+H30</f>
        <v>85793</v>
      </c>
      <c r="I14" s="167">
        <f>H14/G14*100</f>
        <v>23.106113654726638</v>
      </c>
    </row>
    <row r="15" spans="2:9" s="60" customFormat="1" ht="30" customHeight="1">
      <c r="B15" s="104">
        <v>60</v>
      </c>
      <c r="C15" s="105" t="s">
        <v>198</v>
      </c>
      <c r="D15" s="106">
        <v>1002</v>
      </c>
      <c r="E15" s="179">
        <v>2396</v>
      </c>
      <c r="F15" s="179">
        <f>F16+F17+F18+F19+F20+F21</f>
        <v>1500</v>
      </c>
      <c r="G15" s="179">
        <f>G16+G17+G18+G19+G20+G21</f>
        <v>700</v>
      </c>
      <c r="H15" s="176">
        <f>H16+H17+H18+H19+H20+H21</f>
        <v>437</v>
      </c>
      <c r="I15" s="167">
        <f>H15/G15*100</f>
        <v>62.42857142857143</v>
      </c>
    </row>
    <row r="16" spans="2:9" s="60" customFormat="1" ht="30" customHeight="1">
      <c r="B16" s="107">
        <v>600</v>
      </c>
      <c r="C16" s="108" t="s">
        <v>199</v>
      </c>
      <c r="D16" s="109">
        <v>1003</v>
      </c>
      <c r="E16" s="179"/>
      <c r="F16" s="176"/>
      <c r="G16" s="176"/>
      <c r="H16" s="176"/>
      <c r="I16" s="168"/>
    </row>
    <row r="17" spans="2:9" s="60" customFormat="1" ht="30" customHeight="1">
      <c r="B17" s="107">
        <v>601</v>
      </c>
      <c r="C17" s="108" t="s">
        <v>200</v>
      </c>
      <c r="D17" s="109">
        <v>1004</v>
      </c>
      <c r="E17" s="180"/>
      <c r="F17" s="176"/>
      <c r="G17" s="176"/>
      <c r="H17" s="176"/>
      <c r="I17" s="168"/>
    </row>
    <row r="18" spans="2:9" s="60" customFormat="1" ht="30" customHeight="1">
      <c r="B18" s="107">
        <v>602</v>
      </c>
      <c r="C18" s="108" t="s">
        <v>201</v>
      </c>
      <c r="D18" s="109">
        <v>1005</v>
      </c>
      <c r="E18" s="180"/>
      <c r="F18" s="176"/>
      <c r="G18" s="176"/>
      <c r="H18" s="176"/>
      <c r="I18" s="168"/>
    </row>
    <row r="19" spans="2:9" s="60" customFormat="1" ht="30" customHeight="1">
      <c r="B19" s="107">
        <v>603</v>
      </c>
      <c r="C19" s="108" t="s">
        <v>202</v>
      </c>
      <c r="D19" s="109">
        <v>1006</v>
      </c>
      <c r="E19" s="179"/>
      <c r="F19" s="176"/>
      <c r="G19" s="176"/>
      <c r="H19" s="176"/>
      <c r="I19" s="168"/>
    </row>
    <row r="20" spans="2:9" s="60" customFormat="1" ht="30" customHeight="1">
      <c r="B20" s="107">
        <v>604</v>
      </c>
      <c r="C20" s="108" t="s">
        <v>203</v>
      </c>
      <c r="D20" s="109">
        <v>1007</v>
      </c>
      <c r="E20" s="179">
        <v>2396</v>
      </c>
      <c r="F20" s="176">
        <v>1500</v>
      </c>
      <c r="G20" s="176">
        <v>700</v>
      </c>
      <c r="H20" s="176">
        <v>437</v>
      </c>
      <c r="I20" s="167">
        <f>H20/G20*100</f>
        <v>62.42857142857143</v>
      </c>
    </row>
    <row r="21" spans="2:9" s="60" customFormat="1" ht="30" customHeight="1">
      <c r="B21" s="107">
        <v>605</v>
      </c>
      <c r="C21" s="108" t="s">
        <v>204</v>
      </c>
      <c r="D21" s="109">
        <v>1008</v>
      </c>
      <c r="E21" s="179"/>
      <c r="F21" s="176"/>
      <c r="G21" s="176"/>
      <c r="H21" s="176"/>
      <c r="I21" s="168"/>
    </row>
    <row r="22" spans="2:9" s="60" customFormat="1" ht="30" customHeight="1">
      <c r="B22" s="104">
        <v>61</v>
      </c>
      <c r="C22" s="105" t="s">
        <v>205</v>
      </c>
      <c r="D22" s="106">
        <v>1009</v>
      </c>
      <c r="E22" s="179">
        <v>655772</v>
      </c>
      <c r="F22" s="176">
        <f>F23+F24+F25+F26+F27+F28</f>
        <v>821834</v>
      </c>
      <c r="G22" s="176">
        <f>G23+G24+G25+G26+G27+G28</f>
        <v>370000</v>
      </c>
      <c r="H22" s="176">
        <f>H23+H24+H25+H26+H27+H28</f>
        <v>84305</v>
      </c>
      <c r="I22" s="167">
        <f>H22/G22*100</f>
        <v>22.785135135135135</v>
      </c>
    </row>
    <row r="23" spans="2:9" s="60" customFormat="1" ht="31.5">
      <c r="B23" s="107">
        <v>610</v>
      </c>
      <c r="C23" s="108" t="s">
        <v>206</v>
      </c>
      <c r="D23" s="109">
        <v>1010</v>
      </c>
      <c r="E23" s="179"/>
      <c r="F23" s="176"/>
      <c r="G23" s="176"/>
      <c r="H23" s="176"/>
      <c r="I23" s="168"/>
    </row>
    <row r="24" spans="2:9" s="60" customFormat="1" ht="30" customHeight="1">
      <c r="B24" s="107">
        <v>611</v>
      </c>
      <c r="C24" s="108" t="s">
        <v>207</v>
      </c>
      <c r="D24" s="109">
        <v>1011</v>
      </c>
      <c r="E24" s="179"/>
      <c r="F24" s="176"/>
      <c r="G24" s="176"/>
      <c r="H24" s="176"/>
      <c r="I24" s="168"/>
    </row>
    <row r="25" spans="2:9" s="60" customFormat="1" ht="30" customHeight="1">
      <c r="B25" s="107">
        <v>612</v>
      </c>
      <c r="C25" s="108" t="s">
        <v>208</v>
      </c>
      <c r="D25" s="109">
        <v>1012</v>
      </c>
      <c r="E25" s="179"/>
      <c r="F25" s="176"/>
      <c r="G25" s="176"/>
      <c r="H25" s="176"/>
      <c r="I25" s="168"/>
    </row>
    <row r="26" spans="2:9" s="60" customFormat="1" ht="31.5">
      <c r="B26" s="107">
        <v>613</v>
      </c>
      <c r="C26" s="108" t="s">
        <v>209</v>
      </c>
      <c r="D26" s="109">
        <v>1013</v>
      </c>
      <c r="E26" s="179"/>
      <c r="F26" s="176"/>
      <c r="G26" s="176"/>
      <c r="H26" s="176"/>
      <c r="I26" s="168"/>
    </row>
    <row r="27" spans="2:9" s="60" customFormat="1" ht="30" customHeight="1">
      <c r="B27" s="107">
        <v>614</v>
      </c>
      <c r="C27" s="108" t="s">
        <v>210</v>
      </c>
      <c r="D27" s="109">
        <v>1014</v>
      </c>
      <c r="E27" s="179">
        <v>655772</v>
      </c>
      <c r="F27" s="176">
        <v>821834</v>
      </c>
      <c r="G27" s="176">
        <v>370000</v>
      </c>
      <c r="H27" s="176">
        <v>84305</v>
      </c>
      <c r="I27" s="167">
        <f>H27/G27*100</f>
        <v>22.785135135135135</v>
      </c>
    </row>
    <row r="28" spans="2:9" s="60" customFormat="1" ht="18.75">
      <c r="B28" s="107">
        <v>615</v>
      </c>
      <c r="C28" s="108" t="s">
        <v>211</v>
      </c>
      <c r="D28" s="109">
        <v>1015</v>
      </c>
      <c r="E28" s="179"/>
      <c r="F28" s="176"/>
      <c r="G28" s="176"/>
      <c r="H28" s="176"/>
      <c r="I28" s="168"/>
    </row>
    <row r="29" spans="2:9" s="60" customFormat="1" ht="30" customHeight="1">
      <c r="B29" s="107">
        <v>64</v>
      </c>
      <c r="C29" s="108" t="s">
        <v>212</v>
      </c>
      <c r="D29" s="109">
        <v>1016</v>
      </c>
      <c r="E29" s="179">
        <v>7718</v>
      </c>
      <c r="F29" s="176">
        <v>4750</v>
      </c>
      <c r="G29" s="176">
        <v>600</v>
      </c>
      <c r="H29" s="176">
        <v>1051</v>
      </c>
      <c r="I29" s="167">
        <f>H29/G29*100</f>
        <v>175.16666666666666</v>
      </c>
    </row>
    <row r="30" spans="2:9" s="60" customFormat="1" ht="18.75">
      <c r="B30" s="107">
        <v>65</v>
      </c>
      <c r="C30" s="108" t="s">
        <v>213</v>
      </c>
      <c r="D30" s="109">
        <v>1017</v>
      </c>
      <c r="E30" s="179">
        <v>6</v>
      </c>
      <c r="F30" s="184"/>
      <c r="G30" s="184"/>
      <c r="H30" s="176"/>
      <c r="I30" s="167"/>
    </row>
    <row r="31" spans="2:9" s="60" customFormat="1" ht="39" customHeight="1">
      <c r="B31" s="104"/>
      <c r="C31" s="105" t="s">
        <v>214</v>
      </c>
      <c r="D31" s="106"/>
      <c r="E31" s="179"/>
      <c r="F31" s="184"/>
      <c r="G31" s="184"/>
      <c r="H31" s="176"/>
      <c r="I31" s="168"/>
    </row>
    <row r="32" spans="2:9" s="60" customFormat="1" ht="32.25">
      <c r="B32" s="104" t="s">
        <v>215</v>
      </c>
      <c r="C32" s="105" t="s">
        <v>216</v>
      </c>
      <c r="D32" s="106">
        <v>1018</v>
      </c>
      <c r="E32" s="179">
        <v>535971</v>
      </c>
      <c r="F32" s="176">
        <f>F33-F34-F35+F36+F37+F38+F39+F40+F41+F42+F43</f>
        <v>804702</v>
      </c>
      <c r="G32" s="176">
        <f>G33-G34-G35+G36+G37+G38+G39+G40+G41+G42+G43</f>
        <v>267179</v>
      </c>
      <c r="H32" s="176">
        <f>H33-H34-H35+H36+H37+H38+H39+H40+H41+H42+H43</f>
        <v>127214</v>
      </c>
      <c r="I32" s="167">
        <f>H32/G32*100</f>
        <v>47.61377204046725</v>
      </c>
    </row>
    <row r="33" spans="2:9" s="60" customFormat="1" ht="18.75">
      <c r="B33" s="107">
        <v>50</v>
      </c>
      <c r="C33" s="108" t="s">
        <v>217</v>
      </c>
      <c r="D33" s="109">
        <v>1019</v>
      </c>
      <c r="E33" s="179"/>
      <c r="F33" s="176"/>
      <c r="G33" s="176"/>
      <c r="H33" s="176"/>
      <c r="I33" s="168"/>
    </row>
    <row r="34" spans="2:9" s="60" customFormat="1" ht="18.75">
      <c r="B34" s="107">
        <v>62</v>
      </c>
      <c r="C34" s="108" t="s">
        <v>218</v>
      </c>
      <c r="D34" s="109">
        <v>1020</v>
      </c>
      <c r="E34" s="179"/>
      <c r="F34" s="176"/>
      <c r="G34" s="176"/>
      <c r="H34" s="176"/>
      <c r="I34" s="168"/>
    </row>
    <row r="35" spans="2:9" s="60" customFormat="1" ht="31.5">
      <c r="B35" s="107">
        <v>630</v>
      </c>
      <c r="C35" s="108" t="s">
        <v>219</v>
      </c>
      <c r="D35" s="109">
        <v>1021</v>
      </c>
      <c r="E35" s="179"/>
      <c r="F35" s="176"/>
      <c r="G35" s="176"/>
      <c r="H35" s="176"/>
      <c r="I35" s="168"/>
    </row>
    <row r="36" spans="2:9" s="60" customFormat="1" ht="31.5">
      <c r="B36" s="107">
        <v>631</v>
      </c>
      <c r="C36" s="108" t="s">
        <v>220</v>
      </c>
      <c r="D36" s="109">
        <v>1022</v>
      </c>
      <c r="E36" s="179"/>
      <c r="F36" s="176"/>
      <c r="G36" s="176"/>
      <c r="H36" s="176"/>
      <c r="I36" s="168"/>
    </row>
    <row r="37" spans="2:9" s="60" customFormat="1" ht="18.75">
      <c r="B37" s="107" t="s">
        <v>221</v>
      </c>
      <c r="C37" s="108" t="s">
        <v>222</v>
      </c>
      <c r="D37" s="109">
        <v>1023</v>
      </c>
      <c r="E37" s="179">
        <v>23206</v>
      </c>
      <c r="F37" s="176">
        <v>39500</v>
      </c>
      <c r="G37" s="176">
        <v>8000</v>
      </c>
      <c r="H37" s="176">
        <v>3410</v>
      </c>
      <c r="I37" s="167">
        <f>H37/G37*100</f>
        <v>42.625</v>
      </c>
    </row>
    <row r="38" spans="2:9" s="60" customFormat="1" ht="30" customHeight="1">
      <c r="B38" s="107">
        <v>513</v>
      </c>
      <c r="C38" s="108" t="s">
        <v>223</v>
      </c>
      <c r="D38" s="109">
        <v>1024</v>
      </c>
      <c r="E38" s="179">
        <v>46913</v>
      </c>
      <c r="F38" s="176">
        <v>82000</v>
      </c>
      <c r="G38" s="176">
        <v>23000</v>
      </c>
      <c r="H38" s="176">
        <v>8625</v>
      </c>
      <c r="I38" s="167">
        <f>H38/G38*100</f>
        <v>37.5</v>
      </c>
    </row>
    <row r="39" spans="2:9" s="60" customFormat="1" ht="30" customHeight="1">
      <c r="B39" s="107">
        <v>52</v>
      </c>
      <c r="C39" s="108" t="s">
        <v>224</v>
      </c>
      <c r="D39" s="109">
        <v>1025</v>
      </c>
      <c r="E39" s="179">
        <v>213257</v>
      </c>
      <c r="F39" s="176">
        <v>220502</v>
      </c>
      <c r="G39" s="176">
        <v>114329</v>
      </c>
      <c r="H39" s="176">
        <v>77221</v>
      </c>
      <c r="I39" s="167">
        <f>H39/G39*100</f>
        <v>67.54279316708796</v>
      </c>
    </row>
    <row r="40" spans="2:9" s="60" customFormat="1" ht="30" customHeight="1">
      <c r="B40" s="107">
        <v>53</v>
      </c>
      <c r="C40" s="108" t="s">
        <v>225</v>
      </c>
      <c r="D40" s="109">
        <v>1026</v>
      </c>
      <c r="E40" s="179">
        <v>228530</v>
      </c>
      <c r="F40" s="176">
        <v>430600</v>
      </c>
      <c r="G40" s="176">
        <v>116250</v>
      </c>
      <c r="H40" s="176">
        <v>34031</v>
      </c>
      <c r="I40" s="167">
        <f>H40/G40*100</f>
        <v>29.273978494623655</v>
      </c>
    </row>
    <row r="41" spans="2:9" s="60" customFormat="1" ht="30" customHeight="1">
      <c r="B41" s="107">
        <v>540</v>
      </c>
      <c r="C41" s="108" t="s">
        <v>226</v>
      </c>
      <c r="D41" s="109">
        <v>1027</v>
      </c>
      <c r="E41" s="179">
        <v>14479</v>
      </c>
      <c r="F41" s="176">
        <v>17000</v>
      </c>
      <c r="G41" s="176"/>
      <c r="H41" s="176"/>
      <c r="I41" s="168"/>
    </row>
    <row r="42" spans="2:9" s="60" customFormat="1" ht="18.75">
      <c r="B42" s="107" t="s">
        <v>227</v>
      </c>
      <c r="C42" s="108" t="s">
        <v>228</v>
      </c>
      <c r="D42" s="109">
        <v>1028</v>
      </c>
      <c r="E42" s="179"/>
      <c r="F42" s="185">
        <v>3000</v>
      </c>
      <c r="G42" s="185"/>
      <c r="H42" s="185"/>
      <c r="I42" s="168"/>
    </row>
    <row r="43" spans="2:9" s="64" customFormat="1" ht="30" customHeight="1">
      <c r="B43" s="107">
        <v>55</v>
      </c>
      <c r="C43" s="108" t="s">
        <v>229</v>
      </c>
      <c r="D43" s="109">
        <v>1029</v>
      </c>
      <c r="E43" s="181">
        <v>9586</v>
      </c>
      <c r="F43" s="186">
        <v>12100</v>
      </c>
      <c r="G43" s="186">
        <v>5600</v>
      </c>
      <c r="H43" s="171">
        <v>3927</v>
      </c>
      <c r="I43" s="167">
        <f>H43/G43*100</f>
        <v>70.125</v>
      </c>
    </row>
    <row r="44" spans="2:9" s="64" customFormat="1" ht="30" customHeight="1">
      <c r="B44" s="104"/>
      <c r="C44" s="105" t="s">
        <v>230</v>
      </c>
      <c r="D44" s="106">
        <v>1030</v>
      </c>
      <c r="E44" s="177">
        <v>129921</v>
      </c>
      <c r="F44" s="188">
        <f>F14-F32</f>
        <v>23382</v>
      </c>
      <c r="G44" s="188">
        <f>G14-G32</f>
        <v>104121</v>
      </c>
      <c r="H44" s="177"/>
      <c r="I44" s="169"/>
    </row>
    <row r="45" spans="2:9" s="64" customFormat="1" ht="18.75">
      <c r="B45" s="104"/>
      <c r="C45" s="105" t="s">
        <v>231</v>
      </c>
      <c r="D45" s="106">
        <v>1031</v>
      </c>
      <c r="E45" s="181"/>
      <c r="F45" s="187"/>
      <c r="G45" s="177"/>
      <c r="H45" s="177">
        <f>H32-H14</f>
        <v>41421</v>
      </c>
      <c r="I45" s="167"/>
    </row>
    <row r="46" spans="2:9" s="64" customFormat="1" ht="18.75">
      <c r="B46" s="104">
        <v>66</v>
      </c>
      <c r="C46" s="105" t="s">
        <v>232</v>
      </c>
      <c r="D46" s="106">
        <v>1032</v>
      </c>
      <c r="E46" s="177">
        <v>97</v>
      </c>
      <c r="F46" s="181">
        <f>F47+F53+F54</f>
        <v>100</v>
      </c>
      <c r="G46" s="181">
        <f>G47+G53+G54</f>
        <v>50</v>
      </c>
      <c r="H46" s="177">
        <f>H47+H53+H54</f>
        <v>28</v>
      </c>
      <c r="I46" s="169">
        <f>H46/G46*100</f>
        <v>56.00000000000001</v>
      </c>
    </row>
    <row r="47" spans="2:9" s="64" customFormat="1" ht="32.25">
      <c r="B47" s="104" t="s">
        <v>233</v>
      </c>
      <c r="C47" s="105" t="s">
        <v>234</v>
      </c>
      <c r="D47" s="106">
        <v>1033</v>
      </c>
      <c r="E47" s="181"/>
      <c r="F47" s="171"/>
      <c r="G47" s="171"/>
      <c r="H47" s="171">
        <f>H48+H51+H52+H50</f>
        <v>0</v>
      </c>
      <c r="I47" s="169"/>
    </row>
    <row r="48" spans="2:9" s="64" customFormat="1" ht="30" customHeight="1">
      <c r="B48" s="107">
        <v>660</v>
      </c>
      <c r="C48" s="108" t="s">
        <v>235</v>
      </c>
      <c r="D48" s="109">
        <v>1034</v>
      </c>
      <c r="E48" s="181"/>
      <c r="F48" s="171"/>
      <c r="G48" s="171"/>
      <c r="H48" s="171"/>
      <c r="I48" s="169"/>
    </row>
    <row r="49" spans="2:9" s="64" customFormat="1" ht="15" customHeight="1" hidden="1">
      <c r="B49" s="107">
        <v>661</v>
      </c>
      <c r="C49" s="108" t="s">
        <v>236</v>
      </c>
      <c r="D49" s="109">
        <v>1035</v>
      </c>
      <c r="E49" s="182"/>
      <c r="F49" s="161"/>
      <c r="G49" s="161"/>
      <c r="H49" s="161"/>
      <c r="I49" s="170"/>
    </row>
    <row r="50" spans="2:9" s="64" customFormat="1" ht="19.5" customHeight="1">
      <c r="B50" s="107">
        <v>661</v>
      </c>
      <c r="C50" s="108" t="s">
        <v>874</v>
      </c>
      <c r="D50" s="109">
        <v>1035</v>
      </c>
      <c r="E50" s="181"/>
      <c r="F50" s="171"/>
      <c r="G50" s="171"/>
      <c r="H50" s="171"/>
      <c r="I50" s="169"/>
    </row>
    <row r="51" spans="2:9" s="64" customFormat="1" ht="18.75">
      <c r="B51" s="107">
        <v>665</v>
      </c>
      <c r="C51" s="108" t="s">
        <v>237</v>
      </c>
      <c r="D51" s="109">
        <v>1036</v>
      </c>
      <c r="E51" s="181"/>
      <c r="F51" s="171"/>
      <c r="G51" s="171"/>
      <c r="H51" s="171"/>
      <c r="I51" s="169"/>
    </row>
    <row r="52" spans="2:9" s="64" customFormat="1" ht="18.75">
      <c r="B52" s="107">
        <v>669</v>
      </c>
      <c r="C52" s="108" t="s">
        <v>238</v>
      </c>
      <c r="D52" s="109">
        <v>1037</v>
      </c>
      <c r="E52" s="181"/>
      <c r="F52" s="171"/>
      <c r="G52" s="171"/>
      <c r="H52" s="171"/>
      <c r="I52" s="169"/>
    </row>
    <row r="53" spans="2:9" s="64" customFormat="1" ht="18.75">
      <c r="B53" s="104">
        <v>662</v>
      </c>
      <c r="C53" s="105" t="s">
        <v>239</v>
      </c>
      <c r="D53" s="106">
        <v>1038</v>
      </c>
      <c r="E53" s="181">
        <v>97</v>
      </c>
      <c r="F53" s="171">
        <v>100</v>
      </c>
      <c r="G53" s="171">
        <v>50</v>
      </c>
      <c r="H53" s="171"/>
      <c r="I53" s="169">
        <f>H53/G53*100</f>
        <v>0</v>
      </c>
    </row>
    <row r="54" spans="2:9" s="64" customFormat="1" ht="32.25">
      <c r="B54" s="104" t="s">
        <v>240</v>
      </c>
      <c r="C54" s="105" t="s">
        <v>241</v>
      </c>
      <c r="D54" s="106">
        <v>1039</v>
      </c>
      <c r="E54" s="181"/>
      <c r="F54" s="185"/>
      <c r="G54" s="171"/>
      <c r="H54" s="185">
        <v>28</v>
      </c>
      <c r="I54" s="169"/>
    </row>
    <row r="55" spans="2:9" s="64" customFormat="1" ht="18.75">
      <c r="B55" s="104">
        <v>56</v>
      </c>
      <c r="C55" s="105" t="s">
        <v>242</v>
      </c>
      <c r="D55" s="106">
        <v>1040</v>
      </c>
      <c r="E55" s="181">
        <v>4745</v>
      </c>
      <c r="F55" s="171">
        <f>F56+F61+F62</f>
        <v>2600</v>
      </c>
      <c r="G55" s="171">
        <f>G56+G61+G62</f>
        <v>1150</v>
      </c>
      <c r="H55" s="171">
        <f>H56+H61+H62</f>
        <v>735</v>
      </c>
      <c r="I55" s="169">
        <f>H55/G55*100</f>
        <v>63.91304347826087</v>
      </c>
    </row>
    <row r="56" spans="2:9" ht="32.25">
      <c r="B56" s="104" t="s">
        <v>243</v>
      </c>
      <c r="C56" s="105" t="s">
        <v>244</v>
      </c>
      <c r="D56" s="106">
        <v>1041</v>
      </c>
      <c r="E56" s="181">
        <v>9</v>
      </c>
      <c r="F56" s="171">
        <v>100</v>
      </c>
      <c r="G56" s="171">
        <v>50</v>
      </c>
      <c r="H56" s="171">
        <f>H57+H58+H59+H60</f>
        <v>7</v>
      </c>
      <c r="I56" s="169">
        <f>H56/G56*100</f>
        <v>14.000000000000002</v>
      </c>
    </row>
    <row r="57" spans="2:9" ht="18.75">
      <c r="B57" s="107">
        <v>560</v>
      </c>
      <c r="C57" s="108" t="s">
        <v>245</v>
      </c>
      <c r="D57" s="109">
        <v>1042</v>
      </c>
      <c r="E57" s="181"/>
      <c r="F57" s="171"/>
      <c r="G57" s="171"/>
      <c r="H57" s="171"/>
      <c r="I57" s="169"/>
    </row>
    <row r="58" spans="2:9" ht="18.75">
      <c r="B58" s="107">
        <v>561</v>
      </c>
      <c r="C58" s="108" t="s">
        <v>246</v>
      </c>
      <c r="D58" s="109">
        <v>1043</v>
      </c>
      <c r="E58" s="181"/>
      <c r="F58" s="171"/>
      <c r="G58" s="171"/>
      <c r="H58" s="171"/>
      <c r="I58" s="169"/>
    </row>
    <row r="59" spans="2:9" ht="18.75">
      <c r="B59" s="107">
        <v>565</v>
      </c>
      <c r="C59" s="108" t="s">
        <v>247</v>
      </c>
      <c r="D59" s="109">
        <v>1044</v>
      </c>
      <c r="E59" s="181"/>
      <c r="F59" s="171"/>
      <c r="G59" s="171"/>
      <c r="H59" s="171"/>
      <c r="I59" s="169"/>
    </row>
    <row r="60" spans="2:9" ht="18.75">
      <c r="B60" s="107" t="s">
        <v>248</v>
      </c>
      <c r="C60" s="108" t="s">
        <v>249</v>
      </c>
      <c r="D60" s="109">
        <v>1045</v>
      </c>
      <c r="E60" s="181">
        <v>9</v>
      </c>
      <c r="F60" s="171">
        <v>100</v>
      </c>
      <c r="G60" s="171">
        <v>50</v>
      </c>
      <c r="H60" s="171">
        <v>7</v>
      </c>
      <c r="I60" s="169"/>
    </row>
    <row r="61" spans="2:9" ht="18.75">
      <c r="B61" s="107">
        <v>562</v>
      </c>
      <c r="C61" s="108" t="s">
        <v>250</v>
      </c>
      <c r="D61" s="109">
        <v>1046</v>
      </c>
      <c r="E61" s="181">
        <v>4005</v>
      </c>
      <c r="F61" s="171">
        <v>2000</v>
      </c>
      <c r="G61" s="171">
        <v>900</v>
      </c>
      <c r="H61" s="171">
        <v>690</v>
      </c>
      <c r="I61" s="169">
        <f>H61/G61*100</f>
        <v>76.66666666666667</v>
      </c>
    </row>
    <row r="62" spans="2:9" ht="32.25">
      <c r="B62" s="104" t="s">
        <v>251</v>
      </c>
      <c r="C62" s="105" t="s">
        <v>252</v>
      </c>
      <c r="D62" s="106">
        <v>1047</v>
      </c>
      <c r="E62" s="177">
        <v>731</v>
      </c>
      <c r="F62" s="181">
        <v>500</v>
      </c>
      <c r="G62" s="181">
        <v>200</v>
      </c>
      <c r="H62" s="181">
        <v>38</v>
      </c>
      <c r="I62" s="169">
        <f>H62/G62*100</f>
        <v>19</v>
      </c>
    </row>
    <row r="63" spans="2:9" ht="18.75">
      <c r="B63" s="104"/>
      <c r="C63" s="105" t="s">
        <v>253</v>
      </c>
      <c r="D63" s="106">
        <v>1048</v>
      </c>
      <c r="E63" s="181"/>
      <c r="F63" s="171"/>
      <c r="G63" s="171"/>
      <c r="H63" s="171"/>
      <c r="I63" s="169"/>
    </row>
    <row r="64" spans="2:9" ht="18.75">
      <c r="B64" s="104"/>
      <c r="C64" s="105" t="s">
        <v>254</v>
      </c>
      <c r="D64" s="106">
        <v>1049</v>
      </c>
      <c r="E64" s="177">
        <v>4648</v>
      </c>
      <c r="F64" s="177">
        <f>F55-F46</f>
        <v>2500</v>
      </c>
      <c r="G64" s="177">
        <f>G55-G46</f>
        <v>1100</v>
      </c>
      <c r="H64" s="177">
        <f>H55-H46</f>
        <v>707</v>
      </c>
      <c r="I64" s="169">
        <f>H64/G64*100</f>
        <v>64.27272727272727</v>
      </c>
    </row>
    <row r="65" spans="2:9" ht="32.25">
      <c r="B65" s="107" t="s">
        <v>255</v>
      </c>
      <c r="C65" s="108" t="s">
        <v>256</v>
      </c>
      <c r="D65" s="109">
        <v>1050</v>
      </c>
      <c r="E65" s="181"/>
      <c r="F65" s="177"/>
      <c r="G65" s="171"/>
      <c r="H65" s="171"/>
      <c r="I65" s="169"/>
    </row>
    <row r="66" spans="2:9" ht="32.25">
      <c r="B66" s="107" t="s">
        <v>257</v>
      </c>
      <c r="C66" s="108" t="s">
        <v>258</v>
      </c>
      <c r="D66" s="109">
        <v>1051</v>
      </c>
      <c r="E66" s="181">
        <v>14</v>
      </c>
      <c r="F66" s="171"/>
      <c r="G66" s="171"/>
      <c r="H66" s="171"/>
      <c r="I66" s="169"/>
    </row>
    <row r="67" spans="2:9" ht="32.25">
      <c r="B67" s="107" t="s">
        <v>259</v>
      </c>
      <c r="C67" s="105" t="s">
        <v>260</v>
      </c>
      <c r="D67" s="106">
        <v>1052</v>
      </c>
      <c r="E67" s="177">
        <v>12354</v>
      </c>
      <c r="F67" s="177">
        <v>11000</v>
      </c>
      <c r="G67" s="177">
        <v>5500</v>
      </c>
      <c r="H67" s="177">
        <v>729</v>
      </c>
      <c r="I67" s="169">
        <f>H67/G67*100</f>
        <v>13.254545454545456</v>
      </c>
    </row>
    <row r="68" spans="2:9" ht="32.25">
      <c r="B68" s="107" t="s">
        <v>261</v>
      </c>
      <c r="C68" s="105" t="s">
        <v>262</v>
      </c>
      <c r="D68" s="106">
        <v>1053</v>
      </c>
      <c r="E68" s="177">
        <v>6711</v>
      </c>
      <c r="F68" s="177">
        <v>5000</v>
      </c>
      <c r="G68" s="177"/>
      <c r="H68" s="177">
        <v>4480</v>
      </c>
      <c r="I68" s="169"/>
    </row>
    <row r="69" spans="2:9" ht="31.5">
      <c r="B69" s="104"/>
      <c r="C69" s="105" t="s">
        <v>263</v>
      </c>
      <c r="D69" s="106">
        <v>1054</v>
      </c>
      <c r="E69" s="181">
        <v>130902</v>
      </c>
      <c r="F69" s="171">
        <f>F44-F45+F63-F64+F65-F66+F67-F68</f>
        <v>26882</v>
      </c>
      <c r="G69" s="171">
        <f>G44-G45+G63-G64+G65-G66+G67-G68</f>
        <v>108521</v>
      </c>
      <c r="H69" s="171"/>
      <c r="I69" s="172"/>
    </row>
    <row r="70" spans="2:9" ht="31.5">
      <c r="B70" s="104"/>
      <c r="C70" s="105" t="s">
        <v>264</v>
      </c>
      <c r="D70" s="106">
        <v>1055</v>
      </c>
      <c r="E70" s="181"/>
      <c r="F70" s="171"/>
      <c r="G70" s="177"/>
      <c r="H70" s="177">
        <f>H45-H44+H64-H63+H66-H65+H68-H67</f>
        <v>45879</v>
      </c>
      <c r="I70" s="172"/>
    </row>
    <row r="71" spans="2:9" ht="31.5">
      <c r="B71" s="104" t="s">
        <v>137</v>
      </c>
      <c r="C71" s="105" t="s">
        <v>265</v>
      </c>
      <c r="D71" s="106">
        <v>1056</v>
      </c>
      <c r="E71" s="181"/>
      <c r="F71" s="171"/>
      <c r="G71" s="171"/>
      <c r="H71" s="171"/>
      <c r="I71" s="172"/>
    </row>
    <row r="72" spans="2:9" ht="31.5">
      <c r="B72" s="107" t="s">
        <v>138</v>
      </c>
      <c r="C72" s="108" t="s">
        <v>266</v>
      </c>
      <c r="D72" s="109">
        <v>1057</v>
      </c>
      <c r="E72" s="181"/>
      <c r="F72" s="171"/>
      <c r="G72" s="171"/>
      <c r="H72" s="171"/>
      <c r="I72" s="172"/>
    </row>
    <row r="73" spans="2:9" ht="15.75">
      <c r="B73" s="104"/>
      <c r="C73" s="105" t="s">
        <v>267</v>
      </c>
      <c r="D73" s="106">
        <v>1058</v>
      </c>
      <c r="E73" s="177">
        <v>130902</v>
      </c>
      <c r="F73" s="177">
        <f>F69</f>
        <v>26882</v>
      </c>
      <c r="G73" s="177">
        <v>108521</v>
      </c>
      <c r="H73" s="171"/>
      <c r="I73" s="172"/>
    </row>
    <row r="74" spans="2:9" ht="15.75">
      <c r="B74" s="110"/>
      <c r="C74" s="111" t="s">
        <v>268</v>
      </c>
      <c r="D74" s="109">
        <v>1059</v>
      </c>
      <c r="E74" s="181"/>
      <c r="F74" s="171"/>
      <c r="G74" s="177"/>
      <c r="H74" s="177">
        <f>H70</f>
        <v>45879</v>
      </c>
      <c r="I74" s="172"/>
    </row>
    <row r="75" spans="2:9" ht="15.75">
      <c r="B75" s="107"/>
      <c r="C75" s="111" t="s">
        <v>269</v>
      </c>
      <c r="D75" s="109"/>
      <c r="E75" s="181"/>
      <c r="F75" s="171"/>
      <c r="G75" s="171"/>
      <c r="H75" s="171"/>
      <c r="I75" s="172"/>
    </row>
    <row r="76" spans="2:9" ht="15.75">
      <c r="B76" s="104">
        <v>721</v>
      </c>
      <c r="C76" s="112" t="s">
        <v>270</v>
      </c>
      <c r="D76" s="106">
        <v>1060</v>
      </c>
      <c r="E76" s="181">
        <v>12480</v>
      </c>
      <c r="F76" s="171"/>
      <c r="G76" s="171"/>
      <c r="H76" s="171"/>
      <c r="I76" s="172"/>
    </row>
    <row r="77" spans="2:9" ht="15.75">
      <c r="B77" s="107" t="s">
        <v>271</v>
      </c>
      <c r="C77" s="111" t="s">
        <v>272</v>
      </c>
      <c r="D77" s="109">
        <v>1061</v>
      </c>
      <c r="E77" s="181"/>
      <c r="F77" s="171"/>
      <c r="G77" s="171"/>
      <c r="H77" s="171"/>
      <c r="I77" s="172"/>
    </row>
    <row r="78" spans="2:9" ht="15.75">
      <c r="B78" s="107" t="s">
        <v>271</v>
      </c>
      <c r="C78" s="111" t="s">
        <v>273</v>
      </c>
      <c r="D78" s="109">
        <v>1062</v>
      </c>
      <c r="E78" s="181">
        <v>23538</v>
      </c>
      <c r="F78" s="171"/>
      <c r="G78" s="171"/>
      <c r="H78" s="171"/>
      <c r="I78" s="172"/>
    </row>
    <row r="79" spans="2:9" ht="15.75">
      <c r="B79" s="107">
        <v>723</v>
      </c>
      <c r="C79" s="111" t="s">
        <v>274</v>
      </c>
      <c r="D79" s="109">
        <v>1063</v>
      </c>
      <c r="E79" s="181"/>
      <c r="F79" s="171"/>
      <c r="G79" s="171"/>
      <c r="H79" s="171"/>
      <c r="I79" s="172"/>
    </row>
    <row r="80" spans="2:9" ht="15.75">
      <c r="B80" s="104"/>
      <c r="C80" s="112" t="s">
        <v>275</v>
      </c>
      <c r="D80" s="106">
        <v>1064</v>
      </c>
      <c r="E80" s="177">
        <v>141960</v>
      </c>
      <c r="F80" s="177">
        <f>F73</f>
        <v>26882</v>
      </c>
      <c r="G80" s="177">
        <v>108521</v>
      </c>
      <c r="H80" s="171"/>
      <c r="I80" s="172"/>
    </row>
    <row r="81" spans="2:9" ht="15.75">
      <c r="B81" s="110"/>
      <c r="C81" s="111" t="s">
        <v>276</v>
      </c>
      <c r="D81" s="109">
        <v>1065</v>
      </c>
      <c r="E81" s="181"/>
      <c r="F81" s="171"/>
      <c r="G81" s="177"/>
      <c r="H81" s="177">
        <f>H74</f>
        <v>45879</v>
      </c>
      <c r="I81" s="172"/>
    </row>
    <row r="82" spans="2:9" ht="15.75">
      <c r="B82" s="110"/>
      <c r="C82" s="111" t="s">
        <v>277</v>
      </c>
      <c r="D82" s="109">
        <v>1066</v>
      </c>
      <c r="E82" s="181"/>
      <c r="F82" s="171"/>
      <c r="G82" s="171"/>
      <c r="H82" s="171"/>
      <c r="I82" s="172"/>
    </row>
    <row r="83" spans="2:9" ht="15.75">
      <c r="B83" s="110"/>
      <c r="C83" s="111" t="s">
        <v>278</v>
      </c>
      <c r="D83" s="109">
        <v>1067</v>
      </c>
      <c r="E83" s="181"/>
      <c r="F83" s="171"/>
      <c r="G83" s="171"/>
      <c r="H83" s="171"/>
      <c r="I83" s="172"/>
    </row>
    <row r="84" spans="2:9" ht="15.75">
      <c r="B84" s="110"/>
      <c r="C84" s="111" t="s">
        <v>279</v>
      </c>
      <c r="D84" s="109"/>
      <c r="E84" s="181"/>
      <c r="F84" s="171"/>
      <c r="G84" s="171"/>
      <c r="H84" s="171"/>
      <c r="I84" s="172"/>
    </row>
    <row r="85" spans="2:9" ht="15.75">
      <c r="B85" s="110"/>
      <c r="C85" s="111" t="s">
        <v>139</v>
      </c>
      <c r="D85" s="109">
        <v>1068</v>
      </c>
      <c r="E85" s="181"/>
      <c r="F85" s="171"/>
      <c r="G85" s="171"/>
      <c r="H85" s="171"/>
      <c r="I85" s="172"/>
    </row>
    <row r="86" spans="2:9" ht="16.5" thickBot="1">
      <c r="B86" s="113"/>
      <c r="C86" s="114" t="s">
        <v>140</v>
      </c>
      <c r="D86" s="115">
        <v>1069</v>
      </c>
      <c r="E86" s="183"/>
      <c r="F86" s="173"/>
      <c r="G86" s="173"/>
      <c r="H86" s="173"/>
      <c r="I86" s="174"/>
    </row>
    <row r="88" spans="2:10" ht="18.75">
      <c r="B88" s="68" t="s">
        <v>1473</v>
      </c>
      <c r="C88" s="67" t="s">
        <v>1497</v>
      </c>
      <c r="D88" s="68" t="s">
        <v>64</v>
      </c>
      <c r="E88" s="67" t="s">
        <v>878</v>
      </c>
      <c r="F88" s="212"/>
      <c r="G88" s="213"/>
      <c r="H88" s="68"/>
      <c r="I88" s="64"/>
      <c r="J88" s="64"/>
    </row>
    <row r="89" spans="5:8" ht="15.75">
      <c r="E89" s="192"/>
      <c r="F89" s="192"/>
      <c r="G89" s="192"/>
      <c r="H89" s="48"/>
    </row>
    <row r="90" spans="5:8" ht="15.75">
      <c r="E90" s="192"/>
      <c r="F90" s="628" t="s">
        <v>879</v>
      </c>
      <c r="G90" s="628"/>
      <c r="H90" s="48"/>
    </row>
    <row r="91" spans="5:6" ht="15.75">
      <c r="E91" s="189"/>
      <c r="F91" s="189"/>
    </row>
  </sheetData>
  <sheetProtection/>
  <mergeCells count="9">
    <mergeCell ref="F90:G90"/>
    <mergeCell ref="B6:I6"/>
    <mergeCell ref="B10:B11"/>
    <mergeCell ref="I10:I11"/>
    <mergeCell ref="C10:C11"/>
    <mergeCell ref="F10:F11"/>
    <mergeCell ref="G10:H10"/>
    <mergeCell ref="E10:E11"/>
    <mergeCell ref="D10:D11"/>
  </mergeCells>
  <printOptions/>
  <pageMargins left="0.1968503937007874" right="0.1968503937007874" top="0.31496062992125984" bottom="0.3937007874015748" header="0.5118110236220472" footer="0.5118110236220472"/>
  <pageSetup fitToHeight="0" fitToWidth="1" horizontalDpi="600" verticalDpi="600" orientation="landscape" scale="54"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2:S33"/>
  <sheetViews>
    <sheetView zoomScale="75" zoomScaleNormal="75" zoomScalePageLayoutView="0" workbookViewId="0" topLeftCell="A1">
      <selection activeCell="B1" sqref="B1:S33"/>
    </sheetView>
  </sheetViews>
  <sheetFormatPr defaultColWidth="9.140625" defaultRowHeight="12.75"/>
  <cols>
    <col min="1" max="1" width="9.140625" style="22" customWidth="1"/>
    <col min="2" max="2" width="31.7109375" style="22" customWidth="1"/>
    <col min="3" max="3" width="30.28125" style="22" customWidth="1"/>
    <col min="4" max="4" width="12.8515625" style="22" customWidth="1"/>
    <col min="5" max="7" width="20.7109375" style="22" customWidth="1"/>
    <col min="8" max="8" width="14.00390625" style="22" customWidth="1"/>
    <col min="9" max="11" width="13.8515625" style="22" customWidth="1"/>
    <col min="12" max="13" width="12.28125" style="22" customWidth="1"/>
    <col min="14" max="14" width="13.140625" style="22" bestFit="1" customWidth="1"/>
    <col min="15" max="19" width="12.28125" style="22" customWidth="1"/>
    <col min="20" max="16384" width="9.140625" style="22" customWidth="1"/>
  </cols>
  <sheetData>
    <row r="2" ht="15.75">
      <c r="S2" s="23" t="s">
        <v>13</v>
      </c>
    </row>
    <row r="4" ht="15.75">
      <c r="B4" s="13" t="s">
        <v>869</v>
      </c>
    </row>
    <row r="5" ht="15.75">
      <c r="B5" s="13" t="s">
        <v>862</v>
      </c>
    </row>
    <row r="6" ht="15.75">
      <c r="B6" s="13" t="s">
        <v>881</v>
      </c>
    </row>
    <row r="7" ht="15.75">
      <c r="A7" s="13"/>
    </row>
    <row r="8" spans="1:19" ht="15.75">
      <c r="A8" s="13"/>
      <c r="B8" s="728" t="s">
        <v>62</v>
      </c>
      <c r="C8" s="728"/>
      <c r="D8" s="728"/>
      <c r="E8" s="728"/>
      <c r="F8" s="728"/>
      <c r="G8" s="728"/>
      <c r="H8" s="728"/>
      <c r="I8" s="728"/>
      <c r="J8" s="728"/>
      <c r="K8" s="728"/>
      <c r="L8" s="728"/>
      <c r="M8" s="728"/>
      <c r="N8" s="728"/>
      <c r="O8" s="728"/>
      <c r="P8" s="728"/>
      <c r="Q8" s="728"/>
      <c r="R8" s="728"/>
      <c r="S8" s="728"/>
    </row>
    <row r="9" spans="4:11" ht="15.75">
      <c r="D9" s="25"/>
      <c r="E9" s="25"/>
      <c r="F9" s="25"/>
      <c r="G9" s="25"/>
      <c r="H9" s="25"/>
      <c r="I9" s="25"/>
      <c r="J9" s="25"/>
      <c r="K9" s="25"/>
    </row>
    <row r="10" spans="2:19" ht="38.25" customHeight="1">
      <c r="B10" s="743" t="s">
        <v>27</v>
      </c>
      <c r="C10" s="744" t="s">
        <v>28</v>
      </c>
      <c r="D10" s="746" t="s">
        <v>29</v>
      </c>
      <c r="E10" s="741" t="s">
        <v>1405</v>
      </c>
      <c r="F10" s="741" t="s">
        <v>1406</v>
      </c>
      <c r="G10" s="741" t="s">
        <v>30</v>
      </c>
      <c r="H10" s="741" t="s">
        <v>31</v>
      </c>
      <c r="I10" s="741" t="s">
        <v>32</v>
      </c>
      <c r="J10" s="741" t="s">
        <v>33</v>
      </c>
      <c r="K10" s="741" t="s">
        <v>34</v>
      </c>
      <c r="L10" s="738" t="s">
        <v>67</v>
      </c>
      <c r="M10" s="739"/>
      <c r="N10" s="739"/>
      <c r="O10" s="739"/>
      <c r="P10" s="739"/>
      <c r="Q10" s="739"/>
      <c r="R10" s="739"/>
      <c r="S10" s="740"/>
    </row>
    <row r="11" spans="2:19" ht="55.5" customHeight="1">
      <c r="B11" s="743"/>
      <c r="C11" s="745"/>
      <c r="D11" s="746"/>
      <c r="E11" s="742"/>
      <c r="F11" s="742"/>
      <c r="G11" s="742"/>
      <c r="H11" s="742"/>
      <c r="I11" s="742"/>
      <c r="J11" s="742"/>
      <c r="K11" s="742"/>
      <c r="L11" s="19" t="s">
        <v>35</v>
      </c>
      <c r="M11" s="19" t="s">
        <v>36</v>
      </c>
      <c r="N11" s="19" t="s">
        <v>37</v>
      </c>
      <c r="O11" s="19" t="s">
        <v>38</v>
      </c>
      <c r="P11" s="19" t="s">
        <v>39</v>
      </c>
      <c r="Q11" s="19" t="s">
        <v>40</v>
      </c>
      <c r="R11" s="19" t="s">
        <v>41</v>
      </c>
      <c r="S11" s="19" t="s">
        <v>42</v>
      </c>
    </row>
    <row r="12" spans="2:19" ht="15.75">
      <c r="B12" s="27" t="s">
        <v>66</v>
      </c>
      <c r="C12" s="27"/>
      <c r="D12" s="26"/>
      <c r="E12" s="26"/>
      <c r="F12" s="26"/>
      <c r="G12" s="26"/>
      <c r="H12" s="26"/>
      <c r="I12" s="26"/>
      <c r="J12" s="26"/>
      <c r="K12" s="26"/>
      <c r="L12" s="26"/>
      <c r="M12" s="26"/>
      <c r="N12" s="26"/>
      <c r="O12" s="26"/>
      <c r="P12" s="26"/>
      <c r="Q12" s="26"/>
      <c r="R12" s="26"/>
      <c r="S12" s="26"/>
    </row>
    <row r="13" spans="2:19" ht="15.75">
      <c r="B13" s="26" t="s">
        <v>863</v>
      </c>
      <c r="C13" s="26" t="s">
        <v>864</v>
      </c>
      <c r="D13" s="147" t="s">
        <v>865</v>
      </c>
      <c r="E13" s="148"/>
      <c r="F13" s="148"/>
      <c r="G13" s="621" t="s">
        <v>866</v>
      </c>
      <c r="H13" s="621" t="s">
        <v>867</v>
      </c>
      <c r="I13" s="621" t="s">
        <v>868</v>
      </c>
      <c r="J13" s="622">
        <v>6.75</v>
      </c>
      <c r="K13" s="621">
        <v>12</v>
      </c>
      <c r="L13" s="621">
        <v>8312000</v>
      </c>
      <c r="M13" s="623">
        <v>16649000</v>
      </c>
      <c r="N13" s="621">
        <v>22245000</v>
      </c>
      <c r="O13" s="621"/>
      <c r="P13" s="621">
        <v>347000</v>
      </c>
      <c r="Q13" s="621">
        <v>544000</v>
      </c>
      <c r="R13" s="621">
        <v>639000</v>
      </c>
      <c r="S13" s="621"/>
    </row>
    <row r="14" spans="2:19" ht="15.75">
      <c r="B14" s="26" t="s">
        <v>2</v>
      </c>
      <c r="C14" s="26"/>
      <c r="D14" s="26"/>
      <c r="E14" s="26"/>
      <c r="F14" s="26"/>
      <c r="G14" s="26"/>
      <c r="H14" s="26"/>
      <c r="I14" s="26"/>
      <c r="J14" s="26"/>
      <c r="K14" s="26"/>
      <c r="L14" s="26"/>
      <c r="M14" s="26"/>
      <c r="N14" s="26"/>
      <c r="O14" s="26"/>
      <c r="P14" s="26"/>
      <c r="Q14" s="26"/>
      <c r="R14" s="26"/>
      <c r="S14" s="26"/>
    </row>
    <row r="15" spans="2:19" ht="15.75">
      <c r="B15" s="26" t="s">
        <v>2</v>
      </c>
      <c r="C15" s="26"/>
      <c r="D15" s="26"/>
      <c r="E15" s="26"/>
      <c r="F15" s="26"/>
      <c r="G15" s="26"/>
      <c r="H15" s="26"/>
      <c r="I15" s="26"/>
      <c r="J15" s="26"/>
      <c r="K15" s="26"/>
      <c r="L15" s="26"/>
      <c r="M15" s="26"/>
      <c r="N15" s="26"/>
      <c r="O15" s="26"/>
      <c r="P15" s="26"/>
      <c r="Q15" s="26"/>
      <c r="R15" s="26"/>
      <c r="S15" s="26"/>
    </row>
    <row r="16" spans="2:19" ht="15.75">
      <c r="B16" s="26" t="s">
        <v>2</v>
      </c>
      <c r="C16" s="26"/>
      <c r="D16" s="26"/>
      <c r="E16" s="26"/>
      <c r="F16" s="26"/>
      <c r="G16" s="26"/>
      <c r="H16" s="26"/>
      <c r="I16" s="26"/>
      <c r="J16" s="26"/>
      <c r="K16" s="26"/>
      <c r="L16" s="26"/>
      <c r="M16" s="26"/>
      <c r="N16" s="26"/>
      <c r="O16" s="26"/>
      <c r="P16" s="26"/>
      <c r="Q16" s="26"/>
      <c r="R16" s="26"/>
      <c r="S16" s="26"/>
    </row>
    <row r="17" spans="2:19" ht="15.75">
      <c r="B17" s="26" t="s">
        <v>2</v>
      </c>
      <c r="C17" s="26"/>
      <c r="D17" s="26"/>
      <c r="E17" s="26"/>
      <c r="F17" s="26"/>
      <c r="G17" s="26"/>
      <c r="H17" s="26"/>
      <c r="I17" s="26"/>
      <c r="J17" s="26"/>
      <c r="K17" s="26"/>
      <c r="L17" s="26"/>
      <c r="M17" s="26"/>
      <c r="N17" s="26"/>
      <c r="O17" s="26"/>
      <c r="P17" s="26"/>
      <c r="Q17" s="26"/>
      <c r="R17" s="26"/>
      <c r="S17" s="26"/>
    </row>
    <row r="18" spans="2:19" ht="15.75">
      <c r="B18" s="27" t="s">
        <v>43</v>
      </c>
      <c r="C18" s="27"/>
      <c r="D18" s="26"/>
      <c r="E18" s="26"/>
      <c r="F18" s="26"/>
      <c r="G18" s="26"/>
      <c r="H18" s="26"/>
      <c r="I18" s="26"/>
      <c r="J18" s="26"/>
      <c r="K18" s="26"/>
      <c r="L18" s="26"/>
      <c r="M18" s="26"/>
      <c r="N18" s="26"/>
      <c r="O18" s="26"/>
      <c r="P18" s="26"/>
      <c r="Q18" s="26"/>
      <c r="R18" s="26"/>
      <c r="S18" s="26"/>
    </row>
    <row r="19" spans="2:19" ht="15.75">
      <c r="B19" s="26" t="s">
        <v>2</v>
      </c>
      <c r="C19" s="26"/>
      <c r="D19" s="26"/>
      <c r="E19" s="26"/>
      <c r="F19" s="26"/>
      <c r="G19" s="26"/>
      <c r="H19" s="26"/>
      <c r="I19" s="26"/>
      <c r="J19" s="26"/>
      <c r="K19" s="26"/>
      <c r="L19" s="26"/>
      <c r="M19" s="26"/>
      <c r="N19" s="26"/>
      <c r="O19" s="26"/>
      <c r="P19" s="26"/>
      <c r="Q19" s="26"/>
      <c r="R19" s="26"/>
      <c r="S19" s="26"/>
    </row>
    <row r="20" spans="2:19" ht="15.75">
      <c r="B20" s="26" t="s">
        <v>2</v>
      </c>
      <c r="C20" s="26"/>
      <c r="D20" s="26"/>
      <c r="E20" s="26"/>
      <c r="F20" s="26"/>
      <c r="G20" s="26"/>
      <c r="H20" s="26"/>
      <c r="I20" s="26"/>
      <c r="J20" s="26"/>
      <c r="K20" s="26"/>
      <c r="L20" s="26"/>
      <c r="M20" s="26"/>
      <c r="N20" s="26"/>
      <c r="O20" s="26"/>
      <c r="P20" s="26"/>
      <c r="Q20" s="26"/>
      <c r="R20" s="26"/>
      <c r="S20" s="26"/>
    </row>
    <row r="21" spans="2:19" ht="15.75">
      <c r="B21" s="26" t="s">
        <v>2</v>
      </c>
      <c r="C21" s="26"/>
      <c r="D21" s="26"/>
      <c r="E21" s="26"/>
      <c r="F21" s="26"/>
      <c r="G21" s="26"/>
      <c r="H21" s="26"/>
      <c r="I21" s="26"/>
      <c r="J21" s="26"/>
      <c r="K21" s="26"/>
      <c r="L21" s="26"/>
      <c r="M21" s="26"/>
      <c r="N21" s="26"/>
      <c r="O21" s="26"/>
      <c r="P21" s="26"/>
      <c r="Q21" s="26"/>
      <c r="R21" s="26"/>
      <c r="S21" s="26"/>
    </row>
    <row r="22" spans="2:19" ht="15.75">
      <c r="B22" s="26" t="s">
        <v>2</v>
      </c>
      <c r="C22" s="26"/>
      <c r="D22" s="26"/>
      <c r="E22" s="26"/>
      <c r="F22" s="26"/>
      <c r="G22" s="26"/>
      <c r="H22" s="26"/>
      <c r="I22" s="26"/>
      <c r="J22" s="26"/>
      <c r="K22" s="26"/>
      <c r="L22" s="26"/>
      <c r="M22" s="26"/>
      <c r="N22" s="26"/>
      <c r="O22" s="26"/>
      <c r="P22" s="26"/>
      <c r="Q22" s="26"/>
      <c r="R22" s="26"/>
      <c r="S22" s="26"/>
    </row>
    <row r="23" spans="2:19" ht="15.75">
      <c r="B23" s="26" t="s">
        <v>2</v>
      </c>
      <c r="C23" s="26"/>
      <c r="D23" s="26"/>
      <c r="E23" s="26"/>
      <c r="F23" s="26"/>
      <c r="G23" s="26"/>
      <c r="H23" s="26"/>
      <c r="I23" s="26"/>
      <c r="J23" s="26"/>
      <c r="K23" s="26"/>
      <c r="L23" s="26"/>
      <c r="M23" s="26"/>
      <c r="N23" s="26"/>
      <c r="O23" s="26"/>
      <c r="P23" s="26"/>
      <c r="Q23" s="26"/>
      <c r="R23" s="26"/>
      <c r="S23" s="26"/>
    </row>
    <row r="24" spans="2:19" ht="15.75">
      <c r="B24" s="27" t="s">
        <v>3</v>
      </c>
      <c r="C24" s="27"/>
      <c r="D24" s="26"/>
      <c r="E24" s="26"/>
      <c r="F24" s="26"/>
      <c r="G24" s="26"/>
      <c r="H24" s="26"/>
      <c r="I24" s="26"/>
      <c r="J24" s="26"/>
      <c r="K24" s="26"/>
      <c r="L24" s="26"/>
      <c r="M24" s="26"/>
      <c r="N24" s="26"/>
      <c r="O24" s="26"/>
      <c r="P24" s="26"/>
      <c r="Q24" s="26"/>
      <c r="R24" s="26"/>
      <c r="S24" s="26"/>
    </row>
    <row r="25" spans="2:13" ht="15.75">
      <c r="B25" s="28" t="s">
        <v>44</v>
      </c>
      <c r="C25" s="27"/>
      <c r="D25" s="29"/>
      <c r="E25" s="29"/>
      <c r="F25" s="29"/>
      <c r="G25" s="29"/>
      <c r="H25" s="29"/>
      <c r="I25" s="29"/>
      <c r="J25" s="29"/>
      <c r="K25" s="29"/>
      <c r="L25" s="29"/>
      <c r="M25" s="29"/>
    </row>
    <row r="26" spans="2:13" ht="15.75">
      <c r="B26" s="30" t="s">
        <v>45</v>
      </c>
      <c r="C26" s="31"/>
      <c r="D26" s="29"/>
      <c r="E26" s="29"/>
      <c r="F26" s="29"/>
      <c r="G26" s="29"/>
      <c r="H26" s="29"/>
      <c r="I26" s="29"/>
      <c r="J26" s="29"/>
      <c r="K26" s="29"/>
      <c r="L26" s="29"/>
      <c r="M26" s="29"/>
    </row>
    <row r="28" spans="2:4" ht="15.75">
      <c r="B28" s="103" t="s">
        <v>5</v>
      </c>
      <c r="C28" s="103"/>
      <c r="D28" s="13"/>
    </row>
    <row r="29" spans="2:5" ht="15.75">
      <c r="B29" s="13" t="s">
        <v>194</v>
      </c>
      <c r="C29" s="13"/>
      <c r="D29" s="13"/>
      <c r="E29" s="13"/>
    </row>
    <row r="31" spans="2:17" ht="18.75">
      <c r="B31" s="50" t="s">
        <v>190</v>
      </c>
      <c r="C31" s="152" t="s">
        <v>1497</v>
      </c>
      <c r="D31" s="151" t="s">
        <v>64</v>
      </c>
      <c r="E31" s="67" t="s">
        <v>878</v>
      </c>
      <c r="F31" s="212"/>
      <c r="G31" s="213"/>
      <c r="P31" s="43"/>
      <c r="Q31" s="2"/>
    </row>
    <row r="32" spans="5:7" ht="15.75">
      <c r="E32" s="192"/>
      <c r="F32" s="192"/>
      <c r="G32" s="192"/>
    </row>
    <row r="33" spans="5:7" ht="15.75">
      <c r="E33" s="192"/>
      <c r="F33" s="628" t="s">
        <v>879</v>
      </c>
      <c r="G33" s="628"/>
    </row>
  </sheetData>
  <sheetProtection/>
  <mergeCells count="13">
    <mergeCell ref="B8:S8"/>
    <mergeCell ref="B10:B11"/>
    <mergeCell ref="C10:C11"/>
    <mergeCell ref="D10:D11"/>
    <mergeCell ref="E10:E11"/>
    <mergeCell ref="J10:J11"/>
    <mergeCell ref="K10:K11"/>
    <mergeCell ref="L10:S10"/>
    <mergeCell ref="F10:F11"/>
    <mergeCell ref="G10:G11"/>
    <mergeCell ref="H10:H11"/>
    <mergeCell ref="I10:I11"/>
    <mergeCell ref="F33:G33"/>
  </mergeCells>
  <printOptions/>
  <pageMargins left="0.15748031496062992" right="0.15748031496062992" top="0.984251968503937" bottom="0.984251968503937" header="0.5118110236220472" footer="0.5118110236220472"/>
  <pageSetup fitToHeight="0" fitToWidth="1" horizontalDpi="600" verticalDpi="600" orientation="landscape" scale="44"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C2:L45"/>
  <sheetViews>
    <sheetView view="pageBreakPreview" zoomScale="70" zoomScaleNormal="69" zoomScaleSheetLayoutView="70" zoomScalePageLayoutView="0" workbookViewId="0" topLeftCell="A13">
      <selection activeCell="C1" sqref="C1:H44"/>
    </sheetView>
  </sheetViews>
  <sheetFormatPr defaultColWidth="9.140625" defaultRowHeight="12.75"/>
  <cols>
    <col min="1" max="2" width="9.140625" style="2" customWidth="1"/>
    <col min="3" max="3" width="21.7109375" style="2" customWidth="1"/>
    <col min="4" max="4" width="28.7109375" style="58" customWidth="1"/>
    <col min="5" max="5" width="60.57421875" style="2" customWidth="1"/>
    <col min="6" max="8" width="50.7109375" style="2" customWidth="1"/>
    <col min="9" max="16384" width="9.140625" style="2" customWidth="1"/>
  </cols>
  <sheetData>
    <row r="2" spans="3:8" ht="20.25">
      <c r="C2" s="549"/>
      <c r="D2" s="550"/>
      <c r="E2" s="549"/>
      <c r="F2" s="549"/>
      <c r="G2" s="549"/>
      <c r="H2" s="551"/>
    </row>
    <row r="3" spans="3:8" ht="20.25">
      <c r="C3" s="1" t="s">
        <v>1410</v>
      </c>
      <c r="D3" s="2"/>
      <c r="E3" s="552"/>
      <c r="F3" s="552"/>
      <c r="G3" s="552"/>
      <c r="H3" s="553"/>
    </row>
    <row r="4" spans="3:8" ht="20.25">
      <c r="C4" s="1" t="s">
        <v>1411</v>
      </c>
      <c r="D4" s="2"/>
      <c r="E4" s="552"/>
      <c r="F4" s="552"/>
      <c r="G4" s="552"/>
      <c r="H4" s="554" t="s">
        <v>1462</v>
      </c>
    </row>
    <row r="5" spans="3:8" ht="20.25">
      <c r="C5" s="555"/>
      <c r="D5" s="556"/>
      <c r="E5" s="552"/>
      <c r="F5" s="552"/>
      <c r="G5" s="552"/>
      <c r="H5" s="553"/>
    </row>
    <row r="6" spans="3:8" ht="20.25">
      <c r="C6" s="555"/>
      <c r="D6" s="556"/>
      <c r="E6" s="552"/>
      <c r="F6" s="552"/>
      <c r="G6" s="552"/>
      <c r="H6" s="553"/>
    </row>
    <row r="7" spans="3:12" ht="20.25">
      <c r="C7" s="549"/>
      <c r="D7" s="550"/>
      <c r="E7" s="549"/>
      <c r="F7" s="549"/>
      <c r="G7" s="549"/>
      <c r="H7" s="551"/>
      <c r="I7" s="1"/>
      <c r="J7" s="1"/>
      <c r="K7" s="1"/>
      <c r="L7" s="1"/>
    </row>
    <row r="8" spans="3:8" ht="30">
      <c r="C8" s="751" t="s">
        <v>127</v>
      </c>
      <c r="D8" s="751"/>
      <c r="E8" s="751"/>
      <c r="F8" s="751"/>
      <c r="G8" s="751"/>
      <c r="H8" s="751"/>
    </row>
    <row r="9" spans="3:8" ht="20.25">
      <c r="C9" s="549"/>
      <c r="D9" s="550"/>
      <c r="E9" s="549"/>
      <c r="F9" s="549"/>
      <c r="G9" s="549"/>
      <c r="H9" s="551"/>
    </row>
    <row r="10" spans="3:12" ht="7.5" customHeight="1">
      <c r="C10" s="549"/>
      <c r="D10" s="550"/>
      <c r="E10" s="549"/>
      <c r="F10" s="549"/>
      <c r="G10" s="549"/>
      <c r="H10" s="551"/>
      <c r="I10" s="1"/>
      <c r="J10" s="1"/>
      <c r="K10" s="1"/>
      <c r="L10" s="1"/>
    </row>
    <row r="11" spans="3:8" ht="12.75" customHeight="1" thickBot="1">
      <c r="C11" s="555"/>
      <c r="D11" s="556"/>
      <c r="E11" s="555"/>
      <c r="F11" s="555"/>
      <c r="G11" s="555"/>
      <c r="H11" s="557"/>
    </row>
    <row r="12" spans="3:12" s="64" customFormat="1" ht="64.5" customHeight="1" hidden="1" thickBot="1">
      <c r="C12" s="549"/>
      <c r="D12" s="550"/>
      <c r="E12" s="549"/>
      <c r="F12" s="549"/>
      <c r="G12" s="549"/>
      <c r="H12" s="551"/>
      <c r="I12" s="102"/>
      <c r="J12" s="102"/>
      <c r="K12" s="102"/>
      <c r="L12" s="102"/>
    </row>
    <row r="13" spans="3:12" s="64" customFormat="1" ht="19.5" customHeight="1" thickBot="1">
      <c r="C13" s="558" t="s">
        <v>128</v>
      </c>
      <c r="D13" s="559" t="s">
        <v>122</v>
      </c>
      <c r="E13" s="560" t="s">
        <v>129</v>
      </c>
      <c r="F13" s="560" t="s">
        <v>130</v>
      </c>
      <c r="G13" s="560" t="s">
        <v>131</v>
      </c>
      <c r="H13" s="561" t="s">
        <v>132</v>
      </c>
      <c r="I13" s="102"/>
      <c r="J13" s="102"/>
      <c r="K13" s="102"/>
      <c r="L13" s="102"/>
    </row>
    <row r="14" spans="3:8" s="64" customFormat="1" ht="30" customHeight="1">
      <c r="C14" s="562">
        <v>1</v>
      </c>
      <c r="D14" s="563">
        <v>2</v>
      </c>
      <c r="E14" s="564">
        <v>3</v>
      </c>
      <c r="F14" s="564">
        <v>4</v>
      </c>
      <c r="G14" s="564">
        <v>5</v>
      </c>
      <c r="H14" s="597">
        <v>6</v>
      </c>
    </row>
    <row r="15" spans="3:8" s="64" customFormat="1" ht="30" customHeight="1">
      <c r="C15" s="752" t="s">
        <v>1466</v>
      </c>
      <c r="D15" s="565" t="s">
        <v>437</v>
      </c>
      <c r="E15" s="65" t="s">
        <v>870</v>
      </c>
      <c r="F15" s="65" t="s">
        <v>871</v>
      </c>
      <c r="G15" s="63"/>
      <c r="H15" s="566">
        <v>127375213.86</v>
      </c>
    </row>
    <row r="16" spans="3:8" s="64" customFormat="1" ht="30" customHeight="1">
      <c r="C16" s="753"/>
      <c r="D16" s="565" t="s">
        <v>437</v>
      </c>
      <c r="E16" s="65" t="s">
        <v>870</v>
      </c>
      <c r="F16" s="65" t="s">
        <v>872</v>
      </c>
      <c r="G16" s="63"/>
      <c r="H16" s="566">
        <v>2153016.37</v>
      </c>
    </row>
    <row r="17" spans="3:8" s="64" customFormat="1" ht="30" customHeight="1">
      <c r="C17" s="753"/>
      <c r="D17" s="565" t="s">
        <v>437</v>
      </c>
      <c r="E17" s="65" t="s">
        <v>870</v>
      </c>
      <c r="F17" s="65" t="s">
        <v>872</v>
      </c>
      <c r="G17" s="63"/>
      <c r="H17" s="566">
        <v>585592.58</v>
      </c>
    </row>
    <row r="18" spans="3:8" s="64" customFormat="1" ht="30" customHeight="1">
      <c r="C18" s="753"/>
      <c r="D18" s="567"/>
      <c r="E18" s="65" t="s">
        <v>873</v>
      </c>
      <c r="F18" s="65" t="s">
        <v>872</v>
      </c>
      <c r="G18" s="63"/>
      <c r="H18" s="566">
        <v>48419.36</v>
      </c>
    </row>
    <row r="19" spans="3:8" s="64" customFormat="1" ht="30" customHeight="1" thickBot="1">
      <c r="C19" s="754"/>
      <c r="D19" s="627" t="s">
        <v>1463</v>
      </c>
      <c r="E19" s="569"/>
      <c r="F19" s="569"/>
      <c r="G19" s="569"/>
      <c r="H19" s="570">
        <f>SUM(H15:H18)</f>
        <v>130162242.17</v>
      </c>
    </row>
    <row r="20" spans="3:8" s="64" customFormat="1" ht="30" customHeight="1">
      <c r="C20" s="755" t="s">
        <v>1404</v>
      </c>
      <c r="D20" s="572" t="s">
        <v>437</v>
      </c>
      <c r="E20" s="65" t="s">
        <v>870</v>
      </c>
      <c r="F20" s="65" t="s">
        <v>871</v>
      </c>
      <c r="G20" s="63"/>
      <c r="H20" s="566">
        <v>50228896.74</v>
      </c>
    </row>
    <row r="21" spans="3:8" s="64" customFormat="1" ht="30" customHeight="1">
      <c r="C21" s="756"/>
      <c r="D21" s="572" t="s">
        <v>437</v>
      </c>
      <c r="E21" s="65" t="s">
        <v>870</v>
      </c>
      <c r="F21" s="65" t="s">
        <v>872</v>
      </c>
      <c r="G21" s="63"/>
      <c r="H21" s="566">
        <v>557686.78</v>
      </c>
    </row>
    <row r="22" spans="3:8" s="64" customFormat="1" ht="30" customHeight="1">
      <c r="C22" s="756"/>
      <c r="D22" s="572" t="s">
        <v>437</v>
      </c>
      <c r="E22" s="65" t="s">
        <v>870</v>
      </c>
      <c r="F22" s="65" t="s">
        <v>872</v>
      </c>
      <c r="G22" s="63"/>
      <c r="H22" s="566">
        <v>79462.42</v>
      </c>
    </row>
    <row r="23" spans="3:8" s="64" customFormat="1" ht="30" customHeight="1">
      <c r="C23" s="756"/>
      <c r="D23" s="572" t="s">
        <v>437</v>
      </c>
      <c r="E23" s="65" t="s">
        <v>873</v>
      </c>
      <c r="F23" s="65" t="s">
        <v>872</v>
      </c>
      <c r="G23" s="63"/>
      <c r="H23" s="566">
        <v>384769.21</v>
      </c>
    </row>
    <row r="24" spans="3:8" s="64" customFormat="1" ht="30" customHeight="1" thickBot="1">
      <c r="C24" s="749"/>
      <c r="D24" s="575" t="s">
        <v>1463</v>
      </c>
      <c r="E24" s="569"/>
      <c r="F24" s="569"/>
      <c r="G24" s="569"/>
      <c r="H24" s="570">
        <f>SUM(H20:H23)</f>
        <v>51250815.150000006</v>
      </c>
    </row>
    <row r="25" spans="3:8" s="64" customFormat="1" ht="30" customHeight="1">
      <c r="C25" s="755" t="s">
        <v>1407</v>
      </c>
      <c r="D25" s="572" t="s">
        <v>437</v>
      </c>
      <c r="E25" s="65" t="s">
        <v>870</v>
      </c>
      <c r="F25" s="65" t="s">
        <v>871</v>
      </c>
      <c r="G25" s="571"/>
      <c r="H25" s="566">
        <v>33853615.91</v>
      </c>
    </row>
    <row r="26" spans="3:8" s="64" customFormat="1" ht="30" customHeight="1">
      <c r="C26" s="756"/>
      <c r="D26" s="572" t="s">
        <v>437</v>
      </c>
      <c r="E26" s="65" t="s">
        <v>870</v>
      </c>
      <c r="F26" s="65" t="s">
        <v>872</v>
      </c>
      <c r="G26" s="571"/>
      <c r="H26" s="566">
        <v>569641.1</v>
      </c>
    </row>
    <row r="27" spans="3:8" s="64" customFormat="1" ht="30" customHeight="1">
      <c r="C27" s="756"/>
      <c r="D27" s="572" t="s">
        <v>437</v>
      </c>
      <c r="E27" s="65" t="s">
        <v>870</v>
      </c>
      <c r="F27" s="65" t="s">
        <v>872</v>
      </c>
      <c r="G27" s="571"/>
      <c r="H27" s="566">
        <v>84842.95</v>
      </c>
    </row>
    <row r="28" spans="3:8" s="64" customFormat="1" ht="30" customHeight="1">
      <c r="C28" s="756"/>
      <c r="D28" s="572" t="s">
        <v>437</v>
      </c>
      <c r="E28" s="65" t="s">
        <v>873</v>
      </c>
      <c r="F28" s="65" t="s">
        <v>872</v>
      </c>
      <c r="G28" s="573"/>
      <c r="H28" s="574">
        <v>33722.54</v>
      </c>
    </row>
    <row r="29" spans="3:8" s="64" customFormat="1" ht="30" customHeight="1">
      <c r="C29" s="756"/>
      <c r="D29" s="572" t="s">
        <v>437</v>
      </c>
      <c r="E29" s="65" t="s">
        <v>1492</v>
      </c>
      <c r="F29" s="65"/>
      <c r="G29" s="573"/>
      <c r="H29" s="574">
        <v>103255.44</v>
      </c>
    </row>
    <row r="30" spans="3:8" s="64" customFormat="1" ht="30" customHeight="1" thickBot="1">
      <c r="C30" s="749"/>
      <c r="D30" s="575" t="s">
        <v>1463</v>
      </c>
      <c r="E30" s="576"/>
      <c r="F30" s="576"/>
      <c r="G30" s="577"/>
      <c r="H30" s="578">
        <f>SUM(H25:H29)</f>
        <v>34645077.94</v>
      </c>
    </row>
    <row r="31" spans="3:8" s="64" customFormat="1" ht="30" customHeight="1">
      <c r="C31" s="747" t="s">
        <v>1408</v>
      </c>
      <c r="D31" s="579" t="s">
        <v>437</v>
      </c>
      <c r="E31" s="580" t="s">
        <v>870</v>
      </c>
      <c r="F31" s="65" t="s">
        <v>871</v>
      </c>
      <c r="G31" s="581"/>
      <c r="H31" s="582"/>
    </row>
    <row r="32" spans="3:8" s="64" customFormat="1" ht="30" customHeight="1">
      <c r="C32" s="748"/>
      <c r="D32" s="565" t="s">
        <v>437</v>
      </c>
      <c r="E32" s="65" t="s">
        <v>870</v>
      </c>
      <c r="F32" s="65" t="s">
        <v>872</v>
      </c>
      <c r="G32" s="571"/>
      <c r="H32" s="566"/>
    </row>
    <row r="33" spans="3:8" s="64" customFormat="1" ht="30" customHeight="1">
      <c r="C33" s="748"/>
      <c r="D33" s="565" t="s">
        <v>437</v>
      </c>
      <c r="E33" s="65" t="s">
        <v>870</v>
      </c>
      <c r="F33" s="65" t="s">
        <v>872</v>
      </c>
      <c r="G33" s="571"/>
      <c r="H33" s="566"/>
    </row>
    <row r="34" spans="3:8" s="64" customFormat="1" ht="20.25">
      <c r="C34" s="748"/>
      <c r="D34" s="565" t="s">
        <v>437</v>
      </c>
      <c r="E34" s="65" t="s">
        <v>873</v>
      </c>
      <c r="F34" s="65" t="s">
        <v>872</v>
      </c>
      <c r="G34" s="571"/>
      <c r="H34" s="566"/>
    </row>
    <row r="35" spans="3:11" ht="19.5" customHeight="1" thickBot="1">
      <c r="C35" s="749"/>
      <c r="D35" s="575" t="s">
        <v>1463</v>
      </c>
      <c r="E35" s="577"/>
      <c r="F35" s="577"/>
      <c r="G35" s="583"/>
      <c r="H35" s="584">
        <f>SUM(H31:H34)</f>
        <v>0</v>
      </c>
      <c r="I35" s="6"/>
      <c r="K35" s="6"/>
    </row>
    <row r="36" spans="3:8" ht="20.25">
      <c r="C36" s="747" t="s">
        <v>1409</v>
      </c>
      <c r="D36" s="579" t="s">
        <v>437</v>
      </c>
      <c r="E36" s="580" t="s">
        <v>870</v>
      </c>
      <c r="F36" s="580" t="s">
        <v>871</v>
      </c>
      <c r="G36" s="585"/>
      <c r="H36" s="586"/>
    </row>
    <row r="37" spans="3:8" ht="20.25">
      <c r="C37" s="748"/>
      <c r="D37" s="565" t="s">
        <v>437</v>
      </c>
      <c r="E37" s="65" t="s">
        <v>870</v>
      </c>
      <c r="F37" s="65" t="s">
        <v>872</v>
      </c>
      <c r="G37" s="571"/>
      <c r="H37" s="566"/>
    </row>
    <row r="38" spans="3:8" ht="20.25">
      <c r="C38" s="748"/>
      <c r="D38" s="565" t="s">
        <v>437</v>
      </c>
      <c r="E38" s="65" t="s">
        <v>870</v>
      </c>
      <c r="F38" s="65" t="s">
        <v>872</v>
      </c>
      <c r="G38" s="587"/>
      <c r="H38" s="588"/>
    </row>
    <row r="39" spans="3:8" ht="20.25">
      <c r="C39" s="748"/>
      <c r="D39" s="565" t="s">
        <v>437</v>
      </c>
      <c r="E39" s="65" t="s">
        <v>873</v>
      </c>
      <c r="F39" s="65" t="s">
        <v>872</v>
      </c>
      <c r="G39" s="587"/>
      <c r="H39" s="588"/>
    </row>
    <row r="40" spans="3:8" ht="21" thickBot="1">
      <c r="C40" s="750"/>
      <c r="D40" s="568" t="s">
        <v>1463</v>
      </c>
      <c r="E40" s="589"/>
      <c r="F40" s="590"/>
      <c r="G40" s="590"/>
      <c r="H40" s="591">
        <f>SUM(H36:H39)</f>
        <v>0</v>
      </c>
    </row>
    <row r="41" spans="3:8" ht="20.25">
      <c r="C41" s="592"/>
      <c r="D41" s="593"/>
      <c r="E41" s="594"/>
      <c r="F41" s="594"/>
      <c r="G41" s="594"/>
      <c r="H41" s="595"/>
    </row>
    <row r="42" spans="3:8" ht="20.25">
      <c r="C42" s="549"/>
      <c r="D42" s="550"/>
      <c r="E42" s="549"/>
      <c r="F42" s="549"/>
      <c r="G42" s="549"/>
      <c r="H42" s="551"/>
    </row>
    <row r="43" spans="3:8" ht="15.75">
      <c r="C43" s="22" t="s">
        <v>1499</v>
      </c>
      <c r="D43" s="22"/>
      <c r="E43" s="22"/>
      <c r="G43" s="506" t="s">
        <v>1464</v>
      </c>
      <c r="H43" s="596"/>
    </row>
    <row r="44" spans="3:8" ht="20.25">
      <c r="C44" s="549"/>
      <c r="D44" s="550"/>
      <c r="E44" s="549"/>
      <c r="F44" s="154" t="s">
        <v>1465</v>
      </c>
      <c r="G44" s="549"/>
      <c r="H44" s="551"/>
    </row>
    <row r="45" spans="3:8" ht="20.25">
      <c r="C45" s="549"/>
      <c r="D45" s="550"/>
      <c r="E45" s="549"/>
      <c r="F45" s="549"/>
      <c r="G45" s="549"/>
      <c r="H45" s="551"/>
    </row>
  </sheetData>
  <sheetProtection/>
  <mergeCells count="6">
    <mergeCell ref="C31:C35"/>
    <mergeCell ref="C36:C40"/>
    <mergeCell ref="C8:H8"/>
    <mergeCell ref="C15:C19"/>
    <mergeCell ref="C20:C24"/>
    <mergeCell ref="C25:C30"/>
  </mergeCells>
  <printOptions/>
  <pageMargins left="0.7" right="0.7" top="0.75" bottom="0.75" header="0.3" footer="0.3"/>
  <pageSetup fitToHeight="0" fitToWidth="1" horizontalDpi="600" verticalDpi="600" orientation="landscape" scale="41"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3:G46"/>
  <sheetViews>
    <sheetView tabSelected="1" zoomScale="85" zoomScaleNormal="85" zoomScalePageLayoutView="0" workbookViewId="0" topLeftCell="A26">
      <selection activeCell="B4" sqref="B4:G46"/>
    </sheetView>
  </sheetViews>
  <sheetFormatPr defaultColWidth="9.140625" defaultRowHeight="12.75"/>
  <cols>
    <col min="1" max="1" width="2.7109375" style="59" customWidth="1"/>
    <col min="2" max="2" width="33.00390625" style="59" customWidth="1"/>
    <col min="3" max="3" width="50.140625" style="59" customWidth="1"/>
    <col min="4" max="4" width="9.28125" style="507" customWidth="1"/>
    <col min="5" max="6" width="15.7109375" style="507" customWidth="1"/>
    <col min="7" max="7" width="15.7109375" style="0" customWidth="1"/>
  </cols>
  <sheetData>
    <row r="3" ht="15.75">
      <c r="F3" s="508"/>
    </row>
    <row r="4" spans="1:7" ht="12.75">
      <c r="A4"/>
      <c r="B4"/>
      <c r="C4"/>
      <c r="D4"/>
      <c r="E4" s="134"/>
      <c r="F4" s="134"/>
      <c r="G4" s="134"/>
    </row>
    <row r="5" spans="1:7" ht="15.75">
      <c r="A5"/>
      <c r="B5" s="1" t="s">
        <v>1410</v>
      </c>
      <c r="C5" s="2"/>
      <c r="D5" s="509"/>
      <c r="E5" s="510"/>
      <c r="F5" s="510"/>
      <c r="G5" s="510" t="s">
        <v>1397</v>
      </c>
    </row>
    <row r="6" spans="1:7" ht="15.75">
      <c r="A6"/>
      <c r="B6" s="1" t="s">
        <v>1411</v>
      </c>
      <c r="C6" s="2"/>
      <c r="D6" s="509"/>
      <c r="E6" s="510"/>
      <c r="F6" s="510"/>
      <c r="G6" s="510"/>
    </row>
    <row r="7" spans="1:7" ht="15.75" customHeight="1">
      <c r="A7"/>
      <c r="B7" s="511"/>
      <c r="C7" s="512"/>
      <c r="D7" s="512"/>
      <c r="E7" s="513"/>
      <c r="F7" s="513"/>
      <c r="G7" s="513"/>
    </row>
    <row r="8" spans="1:7" ht="15.75" customHeight="1">
      <c r="A8"/>
      <c r="B8" s="773" t="s">
        <v>1412</v>
      </c>
      <c r="C8" s="773"/>
      <c r="D8" s="773"/>
      <c r="E8" s="773"/>
      <c r="F8" s="773"/>
      <c r="G8" s="773"/>
    </row>
    <row r="9" spans="1:7" ht="12.75">
      <c r="A9"/>
      <c r="B9" s="774" t="s">
        <v>1488</v>
      </c>
      <c r="C9" s="774"/>
      <c r="D9" s="774"/>
      <c r="E9" s="774"/>
      <c r="F9" s="774"/>
      <c r="G9" s="774"/>
    </row>
    <row r="10" spans="1:7" ht="12.75">
      <c r="A10"/>
      <c r="B10" s="515"/>
      <c r="C10" s="515"/>
      <c r="D10" s="515"/>
      <c r="E10" s="514"/>
      <c r="F10" s="514"/>
      <c r="G10" s="514"/>
    </row>
    <row r="11" spans="1:7" ht="13.5" thickBot="1">
      <c r="A11"/>
      <c r="B11" s="516"/>
      <c r="C11" s="515"/>
      <c r="D11" s="515"/>
      <c r="E11" s="514"/>
      <c r="F11" s="514"/>
      <c r="G11" s="514" t="s">
        <v>280</v>
      </c>
    </row>
    <row r="12" spans="1:7" ht="12.75" customHeight="1">
      <c r="A12"/>
      <c r="B12" s="775" t="s">
        <v>77</v>
      </c>
      <c r="C12" s="777" t="s">
        <v>118</v>
      </c>
      <c r="D12" s="779" t="s">
        <v>1413</v>
      </c>
      <c r="E12" s="779" t="s">
        <v>1414</v>
      </c>
      <c r="F12" s="779" t="s">
        <v>1398</v>
      </c>
      <c r="G12" s="781" t="s">
        <v>1415</v>
      </c>
    </row>
    <row r="13" spans="1:7" ht="13.5" thickBot="1">
      <c r="A13"/>
      <c r="B13" s="776"/>
      <c r="C13" s="778"/>
      <c r="D13" s="780"/>
      <c r="E13" s="780"/>
      <c r="F13" s="780"/>
      <c r="G13" s="782"/>
    </row>
    <row r="14" spans="1:7" ht="15.75" customHeight="1">
      <c r="A14"/>
      <c r="B14" s="518">
        <v>1</v>
      </c>
      <c r="C14" s="519">
        <v>2</v>
      </c>
      <c r="D14" s="519">
        <v>3</v>
      </c>
      <c r="E14" s="519">
        <v>4</v>
      </c>
      <c r="F14" s="519">
        <v>5</v>
      </c>
      <c r="G14" s="520">
        <v>6</v>
      </c>
    </row>
    <row r="15" spans="1:7" ht="12.75" customHeight="1">
      <c r="A15"/>
      <c r="B15" s="767" t="s">
        <v>1416</v>
      </c>
      <c r="C15" s="769" t="s">
        <v>1417</v>
      </c>
      <c r="D15" s="770">
        <v>9108</v>
      </c>
      <c r="E15" s="771" t="s">
        <v>1418</v>
      </c>
      <c r="F15" s="771"/>
      <c r="G15" s="772"/>
    </row>
    <row r="16" spans="1:7" ht="12.75">
      <c r="A16"/>
      <c r="B16" s="768"/>
      <c r="C16" s="769"/>
      <c r="D16" s="770"/>
      <c r="E16" s="771"/>
      <c r="F16" s="771"/>
      <c r="G16" s="772"/>
    </row>
    <row r="17" spans="1:7" ht="12.75">
      <c r="A17"/>
      <c r="B17" s="521" t="s">
        <v>1419</v>
      </c>
      <c r="C17" s="522" t="s">
        <v>1420</v>
      </c>
      <c r="D17" s="523">
        <v>9109</v>
      </c>
      <c r="E17" s="524"/>
      <c r="F17" s="524"/>
      <c r="G17" s="525"/>
    </row>
    <row r="18" spans="1:7" ht="25.5">
      <c r="A18"/>
      <c r="B18" s="521" t="s">
        <v>1421</v>
      </c>
      <c r="C18" s="522" t="s">
        <v>1422</v>
      </c>
      <c r="D18" s="523">
        <v>9110</v>
      </c>
      <c r="E18" s="524">
        <v>1138</v>
      </c>
      <c r="F18" s="524">
        <v>1138</v>
      </c>
      <c r="G18" s="525">
        <f>E18-F18</f>
        <v>0</v>
      </c>
    </row>
    <row r="19" spans="1:7" ht="27" customHeight="1">
      <c r="A19"/>
      <c r="B19" s="521" t="s">
        <v>1423</v>
      </c>
      <c r="C19" s="522" t="s">
        <v>1424</v>
      </c>
      <c r="D19" s="523">
        <v>9111</v>
      </c>
      <c r="E19" s="524"/>
      <c r="F19" s="524"/>
      <c r="G19" s="525"/>
    </row>
    <row r="20" spans="1:7" ht="24">
      <c r="A20"/>
      <c r="B20" s="521" t="s">
        <v>1425</v>
      </c>
      <c r="C20" s="522" t="s">
        <v>1426</v>
      </c>
      <c r="D20" s="523">
        <v>9112</v>
      </c>
      <c r="E20" s="524"/>
      <c r="F20" s="524"/>
      <c r="G20" s="525"/>
    </row>
    <row r="21" spans="1:7" ht="25.5">
      <c r="A21"/>
      <c r="B21" s="526" t="s">
        <v>1427</v>
      </c>
      <c r="C21" s="527" t="s">
        <v>1428</v>
      </c>
      <c r="D21" s="528">
        <v>9113</v>
      </c>
      <c r="E21" s="529"/>
      <c r="F21" s="529"/>
      <c r="G21" s="530"/>
    </row>
    <row r="22" spans="1:7" ht="12.75">
      <c r="A22"/>
      <c r="B22" s="521" t="s">
        <v>1429</v>
      </c>
      <c r="C22" s="522" t="s">
        <v>1430</v>
      </c>
      <c r="D22" s="523">
        <v>9114</v>
      </c>
      <c r="E22" s="524"/>
      <c r="F22" s="524"/>
      <c r="G22" s="525"/>
    </row>
    <row r="23" spans="1:7" ht="38.25">
      <c r="A23"/>
      <c r="B23" s="521" t="s">
        <v>1431</v>
      </c>
      <c r="C23" s="522" t="s">
        <v>1432</v>
      </c>
      <c r="D23" s="523">
        <v>9115</v>
      </c>
      <c r="E23" s="524"/>
      <c r="F23" s="524"/>
      <c r="G23" s="525"/>
    </row>
    <row r="24" spans="1:7" ht="25.5">
      <c r="A24"/>
      <c r="B24" s="521" t="s">
        <v>1433</v>
      </c>
      <c r="C24" s="522" t="s">
        <v>1434</v>
      </c>
      <c r="D24" s="523">
        <v>9116</v>
      </c>
      <c r="E24" s="524"/>
      <c r="F24" s="524"/>
      <c r="G24" s="525"/>
    </row>
    <row r="25" spans="1:7" ht="36">
      <c r="A25"/>
      <c r="B25" s="526" t="s">
        <v>1435</v>
      </c>
      <c r="C25" s="527" t="s">
        <v>1436</v>
      </c>
      <c r="D25" s="528">
        <v>9117</v>
      </c>
      <c r="E25" s="529"/>
      <c r="F25" s="529"/>
      <c r="G25" s="530"/>
    </row>
    <row r="26" spans="1:7" ht="36">
      <c r="A26"/>
      <c r="B26" s="521" t="s">
        <v>1437</v>
      </c>
      <c r="C26" s="522" t="s">
        <v>1438</v>
      </c>
      <c r="D26" s="523">
        <v>9118</v>
      </c>
      <c r="E26" s="524"/>
      <c r="F26" s="524"/>
      <c r="G26" s="525"/>
    </row>
    <row r="27" spans="1:7" ht="48">
      <c r="A27"/>
      <c r="B27" s="521" t="s">
        <v>1439</v>
      </c>
      <c r="C27" s="522" t="s">
        <v>1440</v>
      </c>
      <c r="D27" s="523">
        <v>9119</v>
      </c>
      <c r="E27" s="524">
        <v>4335</v>
      </c>
      <c r="F27" s="524"/>
      <c r="G27" s="525">
        <f>E27-F27</f>
        <v>4335</v>
      </c>
    </row>
    <row r="28" spans="1:7" ht="48">
      <c r="A28"/>
      <c r="B28" s="521" t="s">
        <v>1439</v>
      </c>
      <c r="C28" s="522" t="s">
        <v>1441</v>
      </c>
      <c r="D28" s="531">
        <v>9120</v>
      </c>
      <c r="E28" s="524">
        <v>1527</v>
      </c>
      <c r="F28" s="524">
        <f>1044+6+14</f>
        <v>1064</v>
      </c>
      <c r="G28" s="525">
        <f>E28-F28</f>
        <v>463</v>
      </c>
    </row>
    <row r="29" spans="1:7" ht="12.75" customHeight="1">
      <c r="A29"/>
      <c r="B29" s="758" t="s">
        <v>1442</v>
      </c>
      <c r="C29" s="759" t="s">
        <v>1443</v>
      </c>
      <c r="D29" s="761">
        <v>9121</v>
      </c>
      <c r="E29" s="763">
        <v>15132</v>
      </c>
      <c r="F29" s="763">
        <v>500</v>
      </c>
      <c r="G29" s="765">
        <f>E29-F29</f>
        <v>14632</v>
      </c>
    </row>
    <row r="30" spans="1:7" ht="15.75" customHeight="1">
      <c r="A30"/>
      <c r="B30" s="758"/>
      <c r="C30" s="760"/>
      <c r="D30" s="761"/>
      <c r="E30" s="763"/>
      <c r="F30" s="763"/>
      <c r="G30" s="766"/>
    </row>
    <row r="31" spans="1:7" ht="48">
      <c r="A31"/>
      <c r="B31" s="521" t="s">
        <v>1442</v>
      </c>
      <c r="C31" s="522" t="s">
        <v>1444</v>
      </c>
      <c r="D31" s="531">
        <v>9122</v>
      </c>
      <c r="E31" s="524">
        <v>37</v>
      </c>
      <c r="F31" s="524"/>
      <c r="G31" s="525">
        <f>E31-F31</f>
        <v>37</v>
      </c>
    </row>
    <row r="32" spans="1:7" ht="48">
      <c r="A32" s="532"/>
      <c r="B32" s="533" t="s">
        <v>1439</v>
      </c>
      <c r="C32" s="534" t="s">
        <v>1445</v>
      </c>
      <c r="D32" s="535">
        <v>9123</v>
      </c>
      <c r="E32" s="536"/>
      <c r="F32" s="537"/>
      <c r="G32" s="525">
        <f>E32-F32</f>
        <v>0</v>
      </c>
    </row>
    <row r="33" spans="1:7" ht="24.75" customHeight="1">
      <c r="A33"/>
      <c r="B33" s="526" t="s">
        <v>1446</v>
      </c>
      <c r="C33" s="527" t="s">
        <v>1447</v>
      </c>
      <c r="D33" s="538">
        <v>9124</v>
      </c>
      <c r="E33" s="529"/>
      <c r="F33" s="529"/>
      <c r="G33" s="530"/>
    </row>
    <row r="34" spans="1:7" ht="24">
      <c r="A34"/>
      <c r="B34" s="521" t="s">
        <v>1448</v>
      </c>
      <c r="C34" s="522" t="s">
        <v>1449</v>
      </c>
      <c r="D34" s="523">
        <v>9125</v>
      </c>
      <c r="E34" s="539">
        <f>687+118</f>
        <v>805</v>
      </c>
      <c r="F34" s="524"/>
      <c r="G34" s="525">
        <f>E34-F34</f>
        <v>805</v>
      </c>
    </row>
    <row r="35" spans="1:7" ht="15.75" customHeight="1">
      <c r="A35"/>
      <c r="B35" s="521" t="s">
        <v>1450</v>
      </c>
      <c r="C35" s="540" t="s">
        <v>1451</v>
      </c>
      <c r="D35" s="523">
        <v>9126</v>
      </c>
      <c r="E35" s="539"/>
      <c r="F35" s="524"/>
      <c r="G35" s="525"/>
    </row>
    <row r="36" spans="1:7" ht="12.75" customHeight="1">
      <c r="A36"/>
      <c r="B36" s="758" t="s">
        <v>1450</v>
      </c>
      <c r="C36" s="759" t="s">
        <v>1452</v>
      </c>
      <c r="D36" s="761">
        <v>9127</v>
      </c>
      <c r="E36" s="762"/>
      <c r="F36" s="763"/>
      <c r="G36" s="764"/>
    </row>
    <row r="37" spans="1:7" ht="12.75">
      <c r="A37"/>
      <c r="B37" s="758"/>
      <c r="C37" s="760"/>
      <c r="D37" s="761"/>
      <c r="E37" s="762"/>
      <c r="F37" s="763"/>
      <c r="G37" s="764"/>
    </row>
    <row r="38" spans="1:7" ht="31.5" customHeight="1">
      <c r="A38"/>
      <c r="B38" s="521" t="s">
        <v>1453</v>
      </c>
      <c r="C38" s="522" t="s">
        <v>1454</v>
      </c>
      <c r="D38" s="523">
        <v>9128</v>
      </c>
      <c r="E38" s="539">
        <v>87</v>
      </c>
      <c r="F38" s="524"/>
      <c r="G38" s="525">
        <f>E38-F38</f>
        <v>87</v>
      </c>
    </row>
    <row r="39" spans="1:7" ht="24">
      <c r="A39"/>
      <c r="B39" s="521" t="s">
        <v>1455</v>
      </c>
      <c r="C39" s="522" t="s">
        <v>1456</v>
      </c>
      <c r="D39" s="523">
        <v>9129</v>
      </c>
      <c r="E39" s="539"/>
      <c r="F39" s="524"/>
      <c r="G39" s="525"/>
    </row>
    <row r="40" spans="1:7" ht="36.75" thickBot="1">
      <c r="A40"/>
      <c r="B40" s="541" t="s">
        <v>1457</v>
      </c>
      <c r="C40" s="542" t="s">
        <v>1458</v>
      </c>
      <c r="D40" s="517">
        <v>9130</v>
      </c>
      <c r="E40" s="543">
        <v>237978</v>
      </c>
      <c r="F40" s="544">
        <v>237978</v>
      </c>
      <c r="G40" s="545">
        <f>+E40-F40</f>
        <v>0</v>
      </c>
    </row>
    <row r="41" spans="1:7" ht="15.75" customHeight="1">
      <c r="A41"/>
      <c r="B41" s="515"/>
      <c r="C41" s="515"/>
      <c r="D41" s="515"/>
      <c r="E41" s="514"/>
      <c r="F41" s="514"/>
      <c r="G41" s="514"/>
    </row>
    <row r="42" spans="1:7" ht="15.75">
      <c r="A42"/>
      <c r="B42" s="546" t="s">
        <v>1500</v>
      </c>
      <c r="C42" s="547"/>
      <c r="D42" s="547"/>
      <c r="E42" s="548" t="s">
        <v>1459</v>
      </c>
      <c r="F42" s="548"/>
      <c r="G42" s="548"/>
    </row>
    <row r="43" spans="1:7" ht="15.75">
      <c r="A43"/>
      <c r="B43" s="547"/>
      <c r="C43" s="548" t="s">
        <v>1460</v>
      </c>
      <c r="D43" s="515"/>
      <c r="E43" s="548"/>
      <c r="F43" s="514"/>
      <c r="G43" s="548"/>
    </row>
    <row r="44" spans="1:7" ht="15.75">
      <c r="A44"/>
      <c r="B44" s="547"/>
      <c r="C44" s="548"/>
      <c r="D44" s="515"/>
      <c r="E44" s="548"/>
      <c r="F44" s="514"/>
      <c r="G44" s="548"/>
    </row>
    <row r="45" spans="1:7" ht="18.75" customHeight="1">
      <c r="A45"/>
      <c r="B45" s="757" t="s">
        <v>1461</v>
      </c>
      <c r="C45" s="757"/>
      <c r="D45" s="757"/>
      <c r="E45" s="757"/>
      <c r="F45" s="757"/>
      <c r="G45" s="757"/>
    </row>
    <row r="46" spans="1:7" ht="15.75" customHeight="1">
      <c r="A46"/>
      <c r="B46" s="757"/>
      <c r="C46" s="757"/>
      <c r="D46" s="757"/>
      <c r="E46" s="757"/>
      <c r="F46" s="757"/>
      <c r="G46" s="757"/>
    </row>
  </sheetData>
  <sheetProtection/>
  <mergeCells count="27">
    <mergeCell ref="B8:G8"/>
    <mergeCell ref="B9:G9"/>
    <mergeCell ref="B12:B13"/>
    <mergeCell ref="C12:C13"/>
    <mergeCell ref="D12:D13"/>
    <mergeCell ref="E12:E13"/>
    <mergeCell ref="F12:F13"/>
    <mergeCell ref="G12:G13"/>
    <mergeCell ref="B15:B16"/>
    <mergeCell ref="C15:C16"/>
    <mergeCell ref="D15:D16"/>
    <mergeCell ref="E15:E16"/>
    <mergeCell ref="F15:F16"/>
    <mergeCell ref="G15:G16"/>
    <mergeCell ref="B29:B30"/>
    <mergeCell ref="C29:C30"/>
    <mergeCell ref="D29:D30"/>
    <mergeCell ref="E29:E30"/>
    <mergeCell ref="F29:F30"/>
    <mergeCell ref="G29:G30"/>
    <mergeCell ref="B45:G46"/>
    <mergeCell ref="B36:B37"/>
    <mergeCell ref="C36:C37"/>
    <mergeCell ref="D36:D37"/>
    <mergeCell ref="E36:E37"/>
    <mergeCell ref="F36:F37"/>
    <mergeCell ref="G36:G37"/>
  </mergeCells>
  <printOptions/>
  <pageMargins left="0.31496062992125984" right="0.31496062992125984" top="0.7480314960629921" bottom="0.7480314960629921" header="0.31496062992125984" footer="0.31496062992125984"/>
  <pageSetup fitToHeight="0" fitToWidth="1" horizontalDpi="600" verticalDpi="600" orientation="portrait" scale="72"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B2:N153"/>
  <sheetViews>
    <sheetView zoomScale="70" zoomScaleNormal="70" zoomScalePageLayoutView="0" workbookViewId="0" topLeftCell="A120">
      <selection activeCell="B2" sqref="B2:I153"/>
    </sheetView>
  </sheetViews>
  <sheetFormatPr defaultColWidth="9.140625" defaultRowHeight="12.75"/>
  <cols>
    <col min="1" max="1" width="9.140625" style="45" customWidth="1"/>
    <col min="2" max="2" width="32.421875" style="45" customWidth="1"/>
    <col min="3" max="3" width="74.140625" style="45" customWidth="1"/>
    <col min="4" max="4" width="9.8515625" style="45" customWidth="1"/>
    <col min="5" max="7" width="20.7109375" style="192" customWidth="1"/>
    <col min="8" max="9" width="20.7109375" style="48" customWidth="1"/>
    <col min="10" max="10" width="9.140625" style="192" customWidth="1"/>
    <col min="11" max="13" width="9.140625" style="45" customWidth="1"/>
    <col min="14" max="14" width="11.140625" style="45" bestFit="1" customWidth="1"/>
    <col min="15" max="16384" width="9.140625" style="45" customWidth="1"/>
  </cols>
  <sheetData>
    <row r="2" spans="5:10" s="2" customFormat="1" ht="24" customHeight="1">
      <c r="E2" s="42"/>
      <c r="F2" s="42"/>
      <c r="G2" s="42"/>
      <c r="H2" s="42"/>
      <c r="I2" s="11" t="s">
        <v>85</v>
      </c>
      <c r="J2" s="42"/>
    </row>
    <row r="3" spans="2:10" s="2" customFormat="1" ht="15.75">
      <c r="B3" s="13" t="s">
        <v>869</v>
      </c>
      <c r="C3" s="22"/>
      <c r="D3" s="45"/>
      <c r="E3" s="42"/>
      <c r="F3" s="42"/>
      <c r="G3" s="42"/>
      <c r="H3" s="42"/>
      <c r="I3" s="42"/>
      <c r="J3" s="42"/>
    </row>
    <row r="4" spans="2:10" s="2" customFormat="1" ht="15.75">
      <c r="B4" s="13" t="s">
        <v>862</v>
      </c>
      <c r="C4" s="22"/>
      <c r="D4" s="45"/>
      <c r="E4" s="42"/>
      <c r="F4" s="42"/>
      <c r="G4" s="42"/>
      <c r="H4" s="42"/>
      <c r="I4" s="42"/>
      <c r="J4" s="42"/>
    </row>
    <row r="6" spans="2:8" ht="30" customHeight="1">
      <c r="B6" s="647" t="s">
        <v>1479</v>
      </c>
      <c r="C6" s="648"/>
      <c r="D6" s="648"/>
      <c r="E6" s="648"/>
      <c r="F6" s="648"/>
      <c r="G6" s="648"/>
      <c r="H6" s="648"/>
    </row>
    <row r="7" spans="2:9" ht="26.25" customHeight="1" thickBot="1">
      <c r="B7" s="46"/>
      <c r="C7" s="47"/>
      <c r="D7" s="47"/>
      <c r="E7" s="47"/>
      <c r="F7" s="47"/>
      <c r="G7" s="47"/>
      <c r="I7" s="193" t="s">
        <v>280</v>
      </c>
    </row>
    <row r="8" spans="2:10" s="71" customFormat="1" ht="42" customHeight="1">
      <c r="B8" s="649" t="s">
        <v>77</v>
      </c>
      <c r="C8" s="651" t="s">
        <v>78</v>
      </c>
      <c r="D8" s="654" t="s">
        <v>122</v>
      </c>
      <c r="E8" s="643" t="s">
        <v>1402</v>
      </c>
      <c r="F8" s="641" t="s">
        <v>1403</v>
      </c>
      <c r="G8" s="643" t="s">
        <v>1407</v>
      </c>
      <c r="H8" s="644"/>
      <c r="I8" s="645" t="s">
        <v>1480</v>
      </c>
      <c r="J8" s="72"/>
    </row>
    <row r="9" spans="2:9" s="72" customFormat="1" ht="35.25" customHeight="1">
      <c r="B9" s="650"/>
      <c r="C9" s="652"/>
      <c r="D9" s="655"/>
      <c r="E9" s="653"/>
      <c r="F9" s="642"/>
      <c r="G9" s="190" t="s">
        <v>86</v>
      </c>
      <c r="H9" s="190" t="s">
        <v>87</v>
      </c>
      <c r="I9" s="646"/>
    </row>
    <row r="10" spans="2:10" s="74" customFormat="1" ht="37.5" customHeight="1">
      <c r="B10" s="123"/>
      <c r="C10" s="119" t="s">
        <v>79</v>
      </c>
      <c r="D10" s="118"/>
      <c r="E10" s="191"/>
      <c r="F10" s="191"/>
      <c r="G10" s="191"/>
      <c r="H10" s="194"/>
      <c r="I10" s="127"/>
      <c r="J10" s="195"/>
    </row>
    <row r="11" spans="2:10" s="74" customFormat="1" ht="37.5" customHeight="1">
      <c r="B11" s="123">
        <v>0</v>
      </c>
      <c r="C11" s="119" t="s">
        <v>281</v>
      </c>
      <c r="D11" s="120" t="s">
        <v>141</v>
      </c>
      <c r="E11" s="185"/>
      <c r="F11" s="185"/>
      <c r="G11" s="185"/>
      <c r="H11" s="185"/>
      <c r="I11" s="127"/>
      <c r="J11" s="195"/>
    </row>
    <row r="12" spans="2:10" s="74" customFormat="1" ht="37.5" customHeight="1">
      <c r="B12" s="123"/>
      <c r="C12" s="119" t="s">
        <v>282</v>
      </c>
      <c r="D12" s="120" t="s">
        <v>142</v>
      </c>
      <c r="E12" s="185">
        <f>E13+E20+E29+E34+E44</f>
        <v>406339</v>
      </c>
      <c r="F12" s="185">
        <f>F13+F20+F29+F34+F44</f>
        <v>896012</v>
      </c>
      <c r="G12" s="624">
        <f>G13+G20+G29+G34+G44</f>
        <v>912762</v>
      </c>
      <c r="H12" s="185">
        <f>H13+H20+H29+H34+H44</f>
        <v>507158</v>
      </c>
      <c r="I12" s="127">
        <f>H12/G12</f>
        <v>0.5556300547130577</v>
      </c>
      <c r="J12" s="195"/>
    </row>
    <row r="13" spans="2:10" s="74" customFormat="1" ht="37.5" customHeight="1">
      <c r="B13" s="123">
        <v>1</v>
      </c>
      <c r="C13" s="119" t="s">
        <v>283</v>
      </c>
      <c r="D13" s="120" t="s">
        <v>143</v>
      </c>
      <c r="E13" s="185">
        <f>E14+E15+E16+E17+E18+E19</f>
        <v>4</v>
      </c>
      <c r="F13" s="185">
        <f>F14+F15+F16+F17+F18+F19</f>
        <v>704</v>
      </c>
      <c r="G13" s="185">
        <f>G14+G15+G16+G17+G18+G19</f>
        <v>454</v>
      </c>
      <c r="H13" s="185">
        <f>H14+H15+H16+H17+H18+H19</f>
        <v>4</v>
      </c>
      <c r="I13" s="127">
        <f>H13/G13</f>
        <v>0.00881057268722467</v>
      </c>
      <c r="J13" s="195"/>
    </row>
    <row r="14" spans="2:10" s="74" customFormat="1" ht="37.5" customHeight="1">
      <c r="B14" s="123" t="s">
        <v>284</v>
      </c>
      <c r="C14" s="121" t="s">
        <v>285</v>
      </c>
      <c r="D14" s="120" t="s">
        <v>144</v>
      </c>
      <c r="E14" s="185"/>
      <c r="F14" s="185"/>
      <c r="G14" s="185"/>
      <c r="H14" s="185"/>
      <c r="I14" s="127"/>
      <c r="J14" s="195"/>
    </row>
    <row r="15" spans="2:10" s="74" customFormat="1" ht="37.5" customHeight="1">
      <c r="B15" s="123" t="s">
        <v>286</v>
      </c>
      <c r="C15" s="121" t="s">
        <v>287</v>
      </c>
      <c r="D15" s="120" t="s">
        <v>145</v>
      </c>
      <c r="E15" s="185">
        <v>4</v>
      </c>
      <c r="F15" s="185">
        <v>704</v>
      </c>
      <c r="G15" s="185">
        <v>454</v>
      </c>
      <c r="H15" s="185">
        <v>4</v>
      </c>
      <c r="I15" s="127">
        <f>H15/G15</f>
        <v>0.00881057268722467</v>
      </c>
      <c r="J15" s="195"/>
    </row>
    <row r="16" spans="2:10" s="74" customFormat="1" ht="37.5" customHeight="1">
      <c r="B16" s="123" t="s">
        <v>288</v>
      </c>
      <c r="C16" s="121" t="s">
        <v>289</v>
      </c>
      <c r="D16" s="120" t="s">
        <v>146</v>
      </c>
      <c r="E16" s="185"/>
      <c r="F16" s="185"/>
      <c r="G16" s="185"/>
      <c r="H16" s="185"/>
      <c r="I16" s="127"/>
      <c r="J16" s="195"/>
    </row>
    <row r="17" spans="2:10" s="74" customFormat="1" ht="37.5" customHeight="1">
      <c r="B17" s="124" t="s">
        <v>290</v>
      </c>
      <c r="C17" s="121" t="s">
        <v>291</v>
      </c>
      <c r="D17" s="120" t="s">
        <v>147</v>
      </c>
      <c r="E17" s="185"/>
      <c r="F17" s="185"/>
      <c r="G17" s="185"/>
      <c r="H17" s="185"/>
      <c r="I17" s="127"/>
      <c r="J17" s="195"/>
    </row>
    <row r="18" spans="2:10" s="74" customFormat="1" ht="37.5" customHeight="1">
      <c r="B18" s="124" t="s">
        <v>292</v>
      </c>
      <c r="C18" s="121" t="s">
        <v>293</v>
      </c>
      <c r="D18" s="120" t="s">
        <v>148</v>
      </c>
      <c r="E18" s="185"/>
      <c r="F18" s="185"/>
      <c r="G18" s="185"/>
      <c r="H18" s="185"/>
      <c r="I18" s="127"/>
      <c r="J18" s="195"/>
    </row>
    <row r="19" spans="2:10" s="74" customFormat="1" ht="37.5" customHeight="1">
      <c r="B19" s="124" t="s">
        <v>294</v>
      </c>
      <c r="C19" s="121" t="s">
        <v>295</v>
      </c>
      <c r="D19" s="120" t="s">
        <v>875</v>
      </c>
      <c r="E19" s="185"/>
      <c r="F19" s="185"/>
      <c r="G19" s="185"/>
      <c r="H19" s="185"/>
      <c r="I19" s="127"/>
      <c r="J19" s="195"/>
    </row>
    <row r="20" spans="2:10" s="74" customFormat="1" ht="37.5" customHeight="1">
      <c r="B20" s="125">
        <v>2</v>
      </c>
      <c r="C20" s="119" t="s">
        <v>296</v>
      </c>
      <c r="D20" s="120" t="s">
        <v>125</v>
      </c>
      <c r="E20" s="185">
        <f>E21+E22+E23+E24+E25+E26+E27+E28</f>
        <v>406311</v>
      </c>
      <c r="F20" s="185">
        <f>F21+F22+F23+F24+F25+F26+F27+F28</f>
        <v>895284</v>
      </c>
      <c r="G20" s="624">
        <f>G21+G22+G23+G26</f>
        <v>912284</v>
      </c>
      <c r="H20" s="185">
        <f>H21+H22+H23+H24+H25+H26+H27+H28</f>
        <v>507130</v>
      </c>
      <c r="I20" s="127">
        <f>H20/G20</f>
        <v>0.5558904902420737</v>
      </c>
      <c r="J20" s="195"/>
    </row>
    <row r="21" spans="2:10" s="74" customFormat="1" ht="37.5" customHeight="1">
      <c r="B21" s="123" t="s">
        <v>297</v>
      </c>
      <c r="C21" s="121" t="s">
        <v>298</v>
      </c>
      <c r="D21" s="120" t="s">
        <v>124</v>
      </c>
      <c r="E21" s="185">
        <v>17108</v>
      </c>
      <c r="F21" s="185">
        <v>17108</v>
      </c>
      <c r="G21" s="185">
        <v>17108</v>
      </c>
      <c r="H21" s="185">
        <v>17108</v>
      </c>
      <c r="I21" s="127"/>
      <c r="J21" s="195"/>
    </row>
    <row r="22" spans="2:10" s="74" customFormat="1" ht="37.5" customHeight="1">
      <c r="B22" s="124" t="s">
        <v>299</v>
      </c>
      <c r="C22" s="121" t="s">
        <v>300</v>
      </c>
      <c r="D22" s="120" t="s">
        <v>80</v>
      </c>
      <c r="E22" s="185">
        <v>101257</v>
      </c>
      <c r="F22" s="185">
        <v>103544</v>
      </c>
      <c r="G22" s="185">
        <v>106044</v>
      </c>
      <c r="H22" s="185">
        <v>101257</v>
      </c>
      <c r="I22" s="127">
        <f>H22/G22</f>
        <v>0.9548583606804723</v>
      </c>
      <c r="J22" s="195"/>
    </row>
    <row r="23" spans="2:10" s="74" customFormat="1" ht="37.5" customHeight="1">
      <c r="B23" s="123" t="s">
        <v>301</v>
      </c>
      <c r="C23" s="121" t="s">
        <v>302</v>
      </c>
      <c r="D23" s="120" t="s">
        <v>149</v>
      </c>
      <c r="E23" s="185">
        <v>105663</v>
      </c>
      <c r="F23" s="185">
        <v>204016</v>
      </c>
      <c r="G23" s="185">
        <v>218516</v>
      </c>
      <c r="H23" s="185">
        <v>106634</v>
      </c>
      <c r="I23" s="127">
        <f>H23/G23</f>
        <v>0.4879917260063336</v>
      </c>
      <c r="J23" s="195"/>
    </row>
    <row r="24" spans="2:10" s="74" customFormat="1" ht="20.25">
      <c r="B24" s="123" t="s">
        <v>303</v>
      </c>
      <c r="C24" s="121" t="s">
        <v>304</v>
      </c>
      <c r="D24" s="120" t="s">
        <v>150</v>
      </c>
      <c r="E24" s="185"/>
      <c r="F24" s="185"/>
      <c r="G24" s="185"/>
      <c r="H24" s="185"/>
      <c r="I24" s="127"/>
      <c r="J24" s="195"/>
    </row>
    <row r="25" spans="2:10" s="74" customFormat="1" ht="41.25" customHeight="1">
      <c r="B25" s="123" t="s">
        <v>305</v>
      </c>
      <c r="C25" s="121" t="s">
        <v>306</v>
      </c>
      <c r="D25" s="120" t="s">
        <v>151</v>
      </c>
      <c r="E25" s="185"/>
      <c r="F25" s="185"/>
      <c r="G25" s="185"/>
      <c r="H25" s="185"/>
      <c r="I25" s="127"/>
      <c r="J25" s="195"/>
    </row>
    <row r="26" spans="2:10" s="74" customFormat="1" ht="37.5" customHeight="1">
      <c r="B26" s="123" t="s">
        <v>307</v>
      </c>
      <c r="C26" s="121" t="s">
        <v>308</v>
      </c>
      <c r="D26" s="120" t="s">
        <v>126</v>
      </c>
      <c r="E26" s="185">
        <v>182283</v>
      </c>
      <c r="F26" s="185">
        <v>570616</v>
      </c>
      <c r="G26" s="185">
        <v>570616</v>
      </c>
      <c r="H26" s="185">
        <v>282131</v>
      </c>
      <c r="I26" s="127">
        <f>H26/G26</f>
        <v>0.4944323327772092</v>
      </c>
      <c r="J26" s="195"/>
    </row>
    <row r="27" spans="2:10" s="74" customFormat="1" ht="37.5" customHeight="1">
      <c r="B27" s="123" t="s">
        <v>309</v>
      </c>
      <c r="C27" s="121" t="s">
        <v>310</v>
      </c>
      <c r="D27" s="120" t="s">
        <v>152</v>
      </c>
      <c r="E27" s="185"/>
      <c r="F27" s="185"/>
      <c r="G27" s="185"/>
      <c r="H27" s="185"/>
      <c r="I27" s="127"/>
      <c r="J27" s="195"/>
    </row>
    <row r="28" spans="2:10" s="74" customFormat="1" ht="37.5" customHeight="1">
      <c r="B28" s="123" t="s">
        <v>311</v>
      </c>
      <c r="C28" s="121" t="s">
        <v>312</v>
      </c>
      <c r="D28" s="120" t="s">
        <v>123</v>
      </c>
      <c r="E28" s="185"/>
      <c r="F28" s="185"/>
      <c r="G28" s="185"/>
      <c r="H28" s="185"/>
      <c r="I28" s="127"/>
      <c r="J28" s="195"/>
    </row>
    <row r="29" spans="2:10" s="74" customFormat="1" ht="37.5" customHeight="1">
      <c r="B29" s="125">
        <v>3</v>
      </c>
      <c r="C29" s="119" t="s">
        <v>313</v>
      </c>
      <c r="D29" s="120" t="s">
        <v>133</v>
      </c>
      <c r="E29" s="185">
        <f>E30+E31+E32+E33</f>
        <v>0</v>
      </c>
      <c r="F29" s="185">
        <f>F30+F31+F32+F33</f>
        <v>0</v>
      </c>
      <c r="G29" s="185">
        <f>G30+G31+G32+G33</f>
        <v>0</v>
      </c>
      <c r="H29" s="185">
        <f>H30+H31+H32+H33</f>
        <v>0</v>
      </c>
      <c r="I29" s="127"/>
      <c r="J29" s="195"/>
    </row>
    <row r="30" spans="2:10" s="74" customFormat="1" ht="37.5" customHeight="1">
      <c r="B30" s="123" t="s">
        <v>314</v>
      </c>
      <c r="C30" s="121" t="s">
        <v>315</v>
      </c>
      <c r="D30" s="120" t="s">
        <v>153</v>
      </c>
      <c r="E30" s="185"/>
      <c r="F30" s="185"/>
      <c r="G30" s="185"/>
      <c r="H30" s="185"/>
      <c r="I30" s="127"/>
      <c r="J30" s="195"/>
    </row>
    <row r="31" spans="2:10" s="74" customFormat="1" ht="37.5" customHeight="1">
      <c r="B31" s="124" t="s">
        <v>316</v>
      </c>
      <c r="C31" s="121" t="s">
        <v>317</v>
      </c>
      <c r="D31" s="120" t="s">
        <v>154</v>
      </c>
      <c r="E31" s="185"/>
      <c r="F31" s="185"/>
      <c r="G31" s="185"/>
      <c r="H31" s="185"/>
      <c r="I31" s="127"/>
      <c r="J31" s="195"/>
    </row>
    <row r="32" spans="2:10" s="74" customFormat="1" ht="37.5" customHeight="1">
      <c r="B32" s="124" t="s">
        <v>318</v>
      </c>
      <c r="C32" s="121" t="s">
        <v>319</v>
      </c>
      <c r="D32" s="120" t="s">
        <v>155</v>
      </c>
      <c r="E32" s="185"/>
      <c r="F32" s="185"/>
      <c r="G32" s="185"/>
      <c r="H32" s="185"/>
      <c r="I32" s="127"/>
      <c r="J32" s="195"/>
    </row>
    <row r="33" spans="2:10" s="74" customFormat="1" ht="37.5" customHeight="1">
      <c r="B33" s="124" t="s">
        <v>320</v>
      </c>
      <c r="C33" s="121" t="s">
        <v>321</v>
      </c>
      <c r="D33" s="120" t="s">
        <v>156</v>
      </c>
      <c r="E33" s="185"/>
      <c r="F33" s="185"/>
      <c r="G33" s="185"/>
      <c r="H33" s="185"/>
      <c r="I33" s="127"/>
      <c r="J33" s="195"/>
    </row>
    <row r="34" spans="2:10" s="74" customFormat="1" ht="37.5" customHeight="1">
      <c r="B34" s="126" t="s">
        <v>322</v>
      </c>
      <c r="C34" s="119" t="s">
        <v>323</v>
      </c>
      <c r="D34" s="120" t="s">
        <v>157</v>
      </c>
      <c r="E34" s="185">
        <f>E35+E36+E37+E38+E39+E40+E41+E42+E43</f>
        <v>24</v>
      </c>
      <c r="F34" s="185">
        <v>24</v>
      </c>
      <c r="G34" s="185">
        <f>G35+G36+G37+G38+G39+G40+G41+G42+G43</f>
        <v>24</v>
      </c>
      <c r="H34" s="185">
        <f>H35+H36+H37+H38+H39+H40+H41+H42+H43</f>
        <v>24</v>
      </c>
      <c r="I34" s="127">
        <f>H34/G34</f>
        <v>1</v>
      </c>
      <c r="J34" s="195"/>
    </row>
    <row r="35" spans="2:10" s="74" customFormat="1" ht="37.5" customHeight="1">
      <c r="B35" s="124" t="s">
        <v>324</v>
      </c>
      <c r="C35" s="121" t="s">
        <v>325</v>
      </c>
      <c r="D35" s="120" t="s">
        <v>158</v>
      </c>
      <c r="E35" s="185"/>
      <c r="F35" s="185"/>
      <c r="G35" s="185"/>
      <c r="H35" s="185"/>
      <c r="I35" s="127"/>
      <c r="J35" s="195"/>
    </row>
    <row r="36" spans="2:10" s="74" customFormat="1" ht="37.5" customHeight="1">
      <c r="B36" s="124" t="s">
        <v>326</v>
      </c>
      <c r="C36" s="121" t="s">
        <v>327</v>
      </c>
      <c r="D36" s="120" t="s">
        <v>328</v>
      </c>
      <c r="E36" s="185"/>
      <c r="F36" s="185"/>
      <c r="G36" s="185"/>
      <c r="H36" s="185"/>
      <c r="I36" s="127"/>
      <c r="J36" s="195"/>
    </row>
    <row r="37" spans="2:10" s="74" customFormat="1" ht="37.5" customHeight="1">
      <c r="B37" s="124" t="s">
        <v>329</v>
      </c>
      <c r="C37" s="121" t="s">
        <v>330</v>
      </c>
      <c r="D37" s="120" t="s">
        <v>331</v>
      </c>
      <c r="E37" s="185">
        <v>24</v>
      </c>
      <c r="F37" s="185">
        <v>24</v>
      </c>
      <c r="G37" s="185">
        <v>24</v>
      </c>
      <c r="H37" s="185">
        <v>24</v>
      </c>
      <c r="I37" s="127">
        <f>H37/G37</f>
        <v>1</v>
      </c>
      <c r="J37" s="195"/>
    </row>
    <row r="38" spans="2:10" s="74" customFormat="1" ht="37.5" customHeight="1">
      <c r="B38" s="124" t="s">
        <v>332</v>
      </c>
      <c r="C38" s="121" t="s">
        <v>333</v>
      </c>
      <c r="D38" s="120" t="s">
        <v>334</v>
      </c>
      <c r="E38" s="185"/>
      <c r="F38" s="185"/>
      <c r="G38" s="185"/>
      <c r="H38" s="185"/>
      <c r="I38" s="127"/>
      <c r="J38" s="195"/>
    </row>
    <row r="39" spans="2:10" s="74" customFormat="1" ht="37.5" customHeight="1">
      <c r="B39" s="124" t="s">
        <v>332</v>
      </c>
      <c r="C39" s="121" t="s">
        <v>335</v>
      </c>
      <c r="D39" s="120" t="s">
        <v>336</v>
      </c>
      <c r="E39" s="185"/>
      <c r="F39" s="185"/>
      <c r="G39" s="185"/>
      <c r="H39" s="185"/>
      <c r="I39" s="127"/>
      <c r="J39" s="195"/>
    </row>
    <row r="40" spans="2:10" s="74" customFormat="1" ht="37.5" customHeight="1">
      <c r="B40" s="124" t="s">
        <v>337</v>
      </c>
      <c r="C40" s="121" t="s">
        <v>338</v>
      </c>
      <c r="D40" s="120" t="s">
        <v>339</v>
      </c>
      <c r="E40" s="185"/>
      <c r="F40" s="185"/>
      <c r="G40" s="185"/>
      <c r="H40" s="185"/>
      <c r="I40" s="127"/>
      <c r="J40" s="195"/>
    </row>
    <row r="41" spans="2:10" s="74" customFormat="1" ht="37.5" customHeight="1">
      <c r="B41" s="124" t="s">
        <v>337</v>
      </c>
      <c r="C41" s="121" t="s">
        <v>340</v>
      </c>
      <c r="D41" s="120" t="s">
        <v>341</v>
      </c>
      <c r="E41" s="185"/>
      <c r="F41" s="185"/>
      <c r="G41" s="185"/>
      <c r="H41" s="185"/>
      <c r="I41" s="127"/>
      <c r="J41" s="195"/>
    </row>
    <row r="42" spans="2:10" s="74" customFormat="1" ht="37.5" customHeight="1">
      <c r="B42" s="124" t="s">
        <v>342</v>
      </c>
      <c r="C42" s="121" t="s">
        <v>343</v>
      </c>
      <c r="D42" s="120" t="s">
        <v>344</v>
      </c>
      <c r="E42" s="185"/>
      <c r="F42" s="185"/>
      <c r="G42" s="185"/>
      <c r="H42" s="185"/>
      <c r="I42" s="127"/>
      <c r="J42" s="195"/>
    </row>
    <row r="43" spans="2:10" s="74" customFormat="1" ht="37.5" customHeight="1">
      <c r="B43" s="124" t="s">
        <v>345</v>
      </c>
      <c r="C43" s="121" t="s">
        <v>346</v>
      </c>
      <c r="D43" s="120" t="s">
        <v>347</v>
      </c>
      <c r="E43" s="185"/>
      <c r="F43" s="185"/>
      <c r="G43" s="185"/>
      <c r="H43" s="185"/>
      <c r="I43" s="127"/>
      <c r="J43" s="195"/>
    </row>
    <row r="44" spans="2:10" s="74" customFormat="1" ht="37.5" customHeight="1">
      <c r="B44" s="126">
        <v>5</v>
      </c>
      <c r="C44" s="119" t="s">
        <v>348</v>
      </c>
      <c r="D44" s="120" t="s">
        <v>349</v>
      </c>
      <c r="E44" s="185"/>
      <c r="F44" s="185"/>
      <c r="G44" s="185"/>
      <c r="H44" s="185"/>
      <c r="I44" s="127"/>
      <c r="J44" s="195"/>
    </row>
    <row r="45" spans="2:10" s="74" customFormat="1" ht="37.5" customHeight="1">
      <c r="B45" s="124" t="s">
        <v>350</v>
      </c>
      <c r="C45" s="121" t="s">
        <v>351</v>
      </c>
      <c r="D45" s="120" t="s">
        <v>352</v>
      </c>
      <c r="E45" s="185"/>
      <c r="F45" s="185"/>
      <c r="G45" s="185"/>
      <c r="H45" s="185"/>
      <c r="I45" s="127"/>
      <c r="J45" s="195"/>
    </row>
    <row r="46" spans="2:10" s="74" customFormat="1" ht="37.5" customHeight="1">
      <c r="B46" s="124" t="s">
        <v>353</v>
      </c>
      <c r="C46" s="121" t="s">
        <v>354</v>
      </c>
      <c r="D46" s="120" t="s">
        <v>355</v>
      </c>
      <c r="E46" s="185"/>
      <c r="F46" s="185"/>
      <c r="G46" s="185"/>
      <c r="H46" s="185"/>
      <c r="I46" s="127"/>
      <c r="J46" s="195"/>
    </row>
    <row r="47" spans="2:10" s="74" customFormat="1" ht="37.5" customHeight="1">
      <c r="B47" s="124" t="s">
        <v>356</v>
      </c>
      <c r="C47" s="121" t="s">
        <v>357</v>
      </c>
      <c r="D47" s="120" t="s">
        <v>358</v>
      </c>
      <c r="E47" s="185"/>
      <c r="F47" s="185"/>
      <c r="G47" s="185"/>
      <c r="H47" s="185"/>
      <c r="I47" s="127"/>
      <c r="J47" s="195"/>
    </row>
    <row r="48" spans="2:10" s="74" customFormat="1" ht="37.5" customHeight="1">
      <c r="B48" s="124" t="s">
        <v>359</v>
      </c>
      <c r="C48" s="121" t="s">
        <v>360</v>
      </c>
      <c r="D48" s="120" t="s">
        <v>361</v>
      </c>
      <c r="E48" s="185"/>
      <c r="F48" s="185"/>
      <c r="G48" s="185"/>
      <c r="H48" s="185"/>
      <c r="I48" s="127"/>
      <c r="J48" s="195"/>
    </row>
    <row r="49" spans="2:10" s="74" customFormat="1" ht="37.5" customHeight="1">
      <c r="B49" s="124" t="s">
        <v>362</v>
      </c>
      <c r="C49" s="121" t="s">
        <v>363</v>
      </c>
      <c r="D49" s="120" t="s">
        <v>364</v>
      </c>
      <c r="E49" s="185"/>
      <c r="F49" s="185"/>
      <c r="G49" s="185"/>
      <c r="H49" s="185"/>
      <c r="I49" s="127"/>
      <c r="J49" s="195"/>
    </row>
    <row r="50" spans="2:10" s="74" customFormat="1" ht="37.5" customHeight="1">
      <c r="B50" s="124" t="s">
        <v>365</v>
      </c>
      <c r="C50" s="121" t="s">
        <v>366</v>
      </c>
      <c r="D50" s="120" t="s">
        <v>367</v>
      </c>
      <c r="E50" s="185"/>
      <c r="F50" s="185"/>
      <c r="G50" s="185"/>
      <c r="H50" s="185"/>
      <c r="I50" s="127"/>
      <c r="J50" s="195"/>
    </row>
    <row r="51" spans="2:10" s="74" customFormat="1" ht="37.5" customHeight="1">
      <c r="B51" s="124" t="s">
        <v>368</v>
      </c>
      <c r="C51" s="121" t="s">
        <v>369</v>
      </c>
      <c r="D51" s="120" t="s">
        <v>370</v>
      </c>
      <c r="E51" s="185"/>
      <c r="F51" s="185"/>
      <c r="G51" s="185"/>
      <c r="H51" s="185"/>
      <c r="I51" s="127"/>
      <c r="J51" s="195"/>
    </row>
    <row r="52" spans="2:10" s="74" customFormat="1" ht="37.5" customHeight="1">
      <c r="B52" s="126">
        <v>288</v>
      </c>
      <c r="C52" s="119" t="s">
        <v>181</v>
      </c>
      <c r="D52" s="120" t="s">
        <v>371</v>
      </c>
      <c r="E52" s="185"/>
      <c r="F52" s="185"/>
      <c r="G52" s="185"/>
      <c r="H52" s="185"/>
      <c r="I52" s="127"/>
      <c r="J52" s="195"/>
    </row>
    <row r="53" spans="2:10" s="74" customFormat="1" ht="37.5" customHeight="1">
      <c r="B53" s="126"/>
      <c r="C53" s="119" t="s">
        <v>372</v>
      </c>
      <c r="D53" s="120" t="s">
        <v>373</v>
      </c>
      <c r="E53" s="185">
        <f>E54+E61+E69+E70+E71+E72+E78+E79+E80</f>
        <v>147459</v>
      </c>
      <c r="F53" s="185">
        <f>F54+F61+F69+F70+F71+F72+F78+F79+F80</f>
        <v>89276</v>
      </c>
      <c r="G53" s="185">
        <f>G54+G61+G69+G70+G71+G72+G78+G79+G80</f>
        <v>166994</v>
      </c>
      <c r="H53" s="185">
        <f>H54+H61+H69+H70+H71+H72+H78+H79+H80</f>
        <v>84598</v>
      </c>
      <c r="I53" s="127">
        <f>H53/G53</f>
        <v>0.5065930512473502</v>
      </c>
      <c r="J53" s="195"/>
    </row>
    <row r="54" spans="2:10" s="74" customFormat="1" ht="37.5" customHeight="1">
      <c r="B54" s="126" t="s">
        <v>374</v>
      </c>
      <c r="C54" s="119" t="s">
        <v>375</v>
      </c>
      <c r="D54" s="120" t="s">
        <v>376</v>
      </c>
      <c r="E54" s="185">
        <f>E55+E56+E57+E58+E59+E60</f>
        <v>4859</v>
      </c>
      <c r="F54" s="185">
        <f>F55+F56+F57+F58+F59+F60</f>
        <v>11000</v>
      </c>
      <c r="G54" s="185">
        <f>G55+G56+G57+G58+G59+G60</f>
        <v>12500</v>
      </c>
      <c r="H54" s="185">
        <f>H55+H56+H57+H58+H59+H60</f>
        <v>7017</v>
      </c>
      <c r="I54" s="127">
        <f>H54/G54</f>
        <v>0.56136</v>
      </c>
      <c r="J54" s="195"/>
    </row>
    <row r="55" spans="2:10" s="74" customFormat="1" ht="37.5" customHeight="1">
      <c r="B55" s="124">
        <v>10</v>
      </c>
      <c r="C55" s="121" t="s">
        <v>377</v>
      </c>
      <c r="D55" s="120" t="s">
        <v>378</v>
      </c>
      <c r="E55" s="185">
        <v>4474</v>
      </c>
      <c r="F55" s="185">
        <v>11000</v>
      </c>
      <c r="G55" s="185">
        <v>12500</v>
      </c>
      <c r="H55" s="185">
        <v>7017</v>
      </c>
      <c r="I55" s="127">
        <f>H55/G55</f>
        <v>0.56136</v>
      </c>
      <c r="J55" s="195"/>
    </row>
    <row r="56" spans="2:10" s="74" customFormat="1" ht="37.5" customHeight="1">
      <c r="B56" s="124">
        <v>11</v>
      </c>
      <c r="C56" s="121" t="s">
        <v>379</v>
      </c>
      <c r="D56" s="120" t="s">
        <v>380</v>
      </c>
      <c r="E56" s="185"/>
      <c r="F56" s="185"/>
      <c r="G56" s="185"/>
      <c r="H56" s="185"/>
      <c r="I56" s="127"/>
      <c r="J56" s="195"/>
    </row>
    <row r="57" spans="2:10" s="74" customFormat="1" ht="20.25">
      <c r="B57" s="124">
        <v>12</v>
      </c>
      <c r="C57" s="121" t="s">
        <v>381</v>
      </c>
      <c r="D57" s="120" t="s">
        <v>382</v>
      </c>
      <c r="E57" s="185"/>
      <c r="F57" s="185"/>
      <c r="G57" s="185"/>
      <c r="H57" s="185"/>
      <c r="I57" s="127"/>
      <c r="J57" s="195"/>
    </row>
    <row r="58" spans="2:10" s="74" customFormat="1" ht="37.5" customHeight="1">
      <c r="B58" s="124">
        <v>13</v>
      </c>
      <c r="C58" s="121" t="s">
        <v>383</v>
      </c>
      <c r="D58" s="120" t="s">
        <v>384</v>
      </c>
      <c r="E58" s="185"/>
      <c r="F58" s="185"/>
      <c r="G58" s="185"/>
      <c r="H58" s="185"/>
      <c r="I58" s="127"/>
      <c r="J58" s="195"/>
    </row>
    <row r="59" spans="2:10" s="74" customFormat="1" ht="37.5" customHeight="1">
      <c r="B59" s="124">
        <v>14</v>
      </c>
      <c r="C59" s="121" t="s">
        <v>385</v>
      </c>
      <c r="D59" s="120" t="s">
        <v>386</v>
      </c>
      <c r="E59" s="185"/>
      <c r="F59" s="185"/>
      <c r="G59" s="185"/>
      <c r="H59" s="185"/>
      <c r="I59" s="127"/>
      <c r="J59" s="195"/>
    </row>
    <row r="60" spans="2:10" s="74" customFormat="1" ht="37.5" customHeight="1">
      <c r="B60" s="124">
        <v>15</v>
      </c>
      <c r="C60" s="122" t="s">
        <v>387</v>
      </c>
      <c r="D60" s="120" t="s">
        <v>388</v>
      </c>
      <c r="E60" s="185">
        <v>385</v>
      </c>
      <c r="F60" s="185"/>
      <c r="G60" s="185"/>
      <c r="H60" s="185"/>
      <c r="I60" s="127"/>
      <c r="J60" s="195"/>
    </row>
    <row r="61" spans="2:10" s="74" customFormat="1" ht="37.5" customHeight="1">
      <c r="B61" s="126"/>
      <c r="C61" s="119" t="s">
        <v>389</v>
      </c>
      <c r="D61" s="120" t="s">
        <v>390</v>
      </c>
      <c r="E61" s="185">
        <f>E62+E63+E64+E65+E66+E67+E68</f>
        <v>2932</v>
      </c>
      <c r="F61" s="185">
        <f>F62+F63+F64+F65+F66+F67+F68</f>
        <v>25957</v>
      </c>
      <c r="G61" s="185">
        <f>G62+G63+G64+G65+G66+G67+G68</f>
        <v>52255</v>
      </c>
      <c r="H61" s="185">
        <f>H62+H63+H64+H65+H66+H67+H68</f>
        <v>19467</v>
      </c>
      <c r="I61" s="127">
        <f>H61/G61</f>
        <v>0.3725385130609511</v>
      </c>
      <c r="J61" s="195"/>
    </row>
    <row r="62" spans="2:10" s="73" customFormat="1" ht="37.5" customHeight="1">
      <c r="B62" s="124" t="s">
        <v>391</v>
      </c>
      <c r="C62" s="121" t="s">
        <v>392</v>
      </c>
      <c r="D62" s="120" t="s">
        <v>393</v>
      </c>
      <c r="E62" s="185"/>
      <c r="F62" s="185"/>
      <c r="G62" s="185"/>
      <c r="H62" s="185"/>
      <c r="I62" s="127"/>
      <c r="J62" s="196"/>
    </row>
    <row r="63" spans="2:10" s="73" customFormat="1" ht="18.75">
      <c r="B63" s="124" t="s">
        <v>394</v>
      </c>
      <c r="C63" s="121" t="s">
        <v>395</v>
      </c>
      <c r="D63" s="120" t="s">
        <v>396</v>
      </c>
      <c r="E63" s="191"/>
      <c r="F63" s="191"/>
      <c r="G63" s="191"/>
      <c r="H63" s="191"/>
      <c r="I63" s="127"/>
      <c r="J63" s="196"/>
    </row>
    <row r="64" spans="2:10" s="74" customFormat="1" ht="33" customHeight="1">
      <c r="B64" s="124" t="s">
        <v>397</v>
      </c>
      <c r="C64" s="121" t="s">
        <v>398</v>
      </c>
      <c r="D64" s="120" t="s">
        <v>399</v>
      </c>
      <c r="E64" s="171"/>
      <c r="F64" s="171"/>
      <c r="G64" s="171"/>
      <c r="H64" s="171"/>
      <c r="I64" s="127"/>
      <c r="J64" s="195"/>
    </row>
    <row r="65" spans="2:10" s="73" customFormat="1" ht="18.75">
      <c r="B65" s="124" t="s">
        <v>400</v>
      </c>
      <c r="C65" s="121" t="s">
        <v>401</v>
      </c>
      <c r="D65" s="120" t="s">
        <v>402</v>
      </c>
      <c r="E65" s="185"/>
      <c r="F65" s="185"/>
      <c r="G65" s="185"/>
      <c r="H65" s="185"/>
      <c r="I65" s="127"/>
      <c r="J65" s="196"/>
    </row>
    <row r="66" spans="2:9" ht="18.75">
      <c r="B66" s="124" t="s">
        <v>403</v>
      </c>
      <c r="C66" s="121" t="s">
        <v>404</v>
      </c>
      <c r="D66" s="120" t="s">
        <v>405</v>
      </c>
      <c r="E66" s="191">
        <v>2932</v>
      </c>
      <c r="F66" s="191">
        <v>25957</v>
      </c>
      <c r="G66" s="191">
        <v>52255</v>
      </c>
      <c r="H66" s="191">
        <v>19467</v>
      </c>
      <c r="I66" s="127">
        <f>H66/G66</f>
        <v>0.3725385130609511</v>
      </c>
    </row>
    <row r="67" spans="2:9" ht="18.75">
      <c r="B67" s="124" t="s">
        <v>406</v>
      </c>
      <c r="C67" s="121" t="s">
        <v>407</v>
      </c>
      <c r="D67" s="120" t="s">
        <v>408</v>
      </c>
      <c r="E67" s="191"/>
      <c r="F67" s="191"/>
      <c r="G67" s="191"/>
      <c r="H67" s="191"/>
      <c r="I67" s="127"/>
    </row>
    <row r="68" spans="2:9" ht="18.75">
      <c r="B68" s="124" t="s">
        <v>409</v>
      </c>
      <c r="C68" s="121" t="s">
        <v>410</v>
      </c>
      <c r="D68" s="120" t="s">
        <v>411</v>
      </c>
      <c r="E68" s="191"/>
      <c r="F68" s="191"/>
      <c r="G68" s="191"/>
      <c r="H68" s="191"/>
      <c r="I68" s="127"/>
    </row>
    <row r="69" spans="2:9" ht="18.75">
      <c r="B69" s="126">
        <v>21</v>
      </c>
      <c r="C69" s="119" t="s">
        <v>412</v>
      </c>
      <c r="D69" s="120" t="s">
        <v>413</v>
      </c>
      <c r="E69" s="191"/>
      <c r="F69" s="191"/>
      <c r="G69" s="191"/>
      <c r="H69" s="191"/>
      <c r="I69" s="127"/>
    </row>
    <row r="70" spans="2:9" ht="18.75">
      <c r="B70" s="126">
        <v>22</v>
      </c>
      <c r="C70" s="119" t="s">
        <v>414</v>
      </c>
      <c r="D70" s="120" t="s">
        <v>415</v>
      </c>
      <c r="E70" s="191">
        <v>1762</v>
      </c>
      <c r="F70" s="191">
        <v>1000</v>
      </c>
      <c r="G70" s="191">
        <v>1000</v>
      </c>
      <c r="H70" s="191">
        <f>892+5192</f>
        <v>6084</v>
      </c>
      <c r="I70" s="127">
        <f>H70/G70</f>
        <v>6.084</v>
      </c>
    </row>
    <row r="71" spans="2:9" ht="37.5">
      <c r="B71" s="126">
        <v>236</v>
      </c>
      <c r="C71" s="119" t="s">
        <v>416</v>
      </c>
      <c r="D71" s="120" t="s">
        <v>417</v>
      </c>
      <c r="E71" s="191"/>
      <c r="F71" s="191"/>
      <c r="G71" s="191"/>
      <c r="H71" s="191"/>
      <c r="I71" s="127"/>
    </row>
    <row r="72" spans="2:9" ht="37.5">
      <c r="B72" s="126" t="s">
        <v>418</v>
      </c>
      <c r="C72" s="119" t="s">
        <v>419</v>
      </c>
      <c r="D72" s="120" t="s">
        <v>420</v>
      </c>
      <c r="E72" s="191">
        <f>E73+E74+E75+E76+E77</f>
        <v>10</v>
      </c>
      <c r="F72" s="191">
        <f>F73+F74+F75+F76+F77</f>
        <v>0</v>
      </c>
      <c r="G72" s="191">
        <f>G73+G74+G75+G76+G77</f>
        <v>0</v>
      </c>
      <c r="H72" s="191">
        <f>H73+H74+H75+H76+H77</f>
        <v>0</v>
      </c>
      <c r="I72" s="127"/>
    </row>
    <row r="73" spans="2:9" ht="37.5">
      <c r="B73" s="124" t="s">
        <v>421</v>
      </c>
      <c r="C73" s="121" t="s">
        <v>422</v>
      </c>
      <c r="D73" s="120" t="s">
        <v>423</v>
      </c>
      <c r="E73" s="191"/>
      <c r="F73" s="191"/>
      <c r="G73" s="191"/>
      <c r="H73" s="191"/>
      <c r="I73" s="127"/>
    </row>
    <row r="74" spans="2:9" ht="37.5">
      <c r="B74" s="124" t="s">
        <v>424</v>
      </c>
      <c r="C74" s="121" t="s">
        <v>425</v>
      </c>
      <c r="D74" s="120" t="s">
        <v>426</v>
      </c>
      <c r="E74" s="191"/>
      <c r="F74" s="191"/>
      <c r="G74" s="191"/>
      <c r="H74" s="191"/>
      <c r="I74" s="127"/>
    </row>
    <row r="75" spans="2:9" ht="18.75">
      <c r="B75" s="124" t="s">
        <v>427</v>
      </c>
      <c r="C75" s="121" t="s">
        <v>428</v>
      </c>
      <c r="D75" s="120" t="s">
        <v>429</v>
      </c>
      <c r="E75" s="191">
        <v>10</v>
      </c>
      <c r="F75" s="191"/>
      <c r="G75" s="191"/>
      <c r="H75" s="191"/>
      <c r="I75" s="127"/>
    </row>
    <row r="76" spans="2:9" ht="18.75">
      <c r="B76" s="124" t="s">
        <v>430</v>
      </c>
      <c r="C76" s="121" t="s">
        <v>431</v>
      </c>
      <c r="D76" s="120" t="s">
        <v>432</v>
      </c>
      <c r="E76" s="191"/>
      <c r="F76" s="191"/>
      <c r="G76" s="191"/>
      <c r="H76" s="191"/>
      <c r="I76" s="127"/>
    </row>
    <row r="77" spans="2:9" ht="18.75">
      <c r="B77" s="124" t="s">
        <v>433</v>
      </c>
      <c r="C77" s="121" t="s">
        <v>434</v>
      </c>
      <c r="D77" s="120" t="s">
        <v>435</v>
      </c>
      <c r="E77" s="191"/>
      <c r="F77" s="191"/>
      <c r="G77" s="191"/>
      <c r="H77" s="191"/>
      <c r="I77" s="127"/>
    </row>
    <row r="78" spans="2:9" ht="18.75">
      <c r="B78" s="126">
        <v>24</v>
      </c>
      <c r="C78" s="119" t="s">
        <v>436</v>
      </c>
      <c r="D78" s="120" t="s">
        <v>437</v>
      </c>
      <c r="E78" s="191">
        <v>130162</v>
      </c>
      <c r="F78" s="191">
        <v>48819</v>
      </c>
      <c r="G78" s="191">
        <v>100239</v>
      </c>
      <c r="H78" s="191">
        <v>34645</v>
      </c>
      <c r="I78" s="127">
        <f>H78/G78</f>
        <v>0.34562395873861473</v>
      </c>
    </row>
    <row r="79" spans="2:9" ht="18.75">
      <c r="B79" s="126">
        <v>27</v>
      </c>
      <c r="C79" s="119" t="s">
        <v>438</v>
      </c>
      <c r="D79" s="120" t="s">
        <v>439</v>
      </c>
      <c r="E79" s="191"/>
      <c r="F79" s="191"/>
      <c r="G79" s="191"/>
      <c r="H79" s="191">
        <v>17289</v>
      </c>
      <c r="I79" s="127"/>
    </row>
    <row r="80" spans="2:9" ht="18.75">
      <c r="B80" s="126" t="s">
        <v>440</v>
      </c>
      <c r="C80" s="119" t="s">
        <v>441</v>
      </c>
      <c r="D80" s="120" t="s">
        <v>442</v>
      </c>
      <c r="E80" s="191">
        <v>7734</v>
      </c>
      <c r="F80" s="191">
        <v>2500</v>
      </c>
      <c r="G80" s="191">
        <v>1000</v>
      </c>
      <c r="H80" s="191">
        <v>96</v>
      </c>
      <c r="I80" s="127">
        <f>H80/G80</f>
        <v>0.096</v>
      </c>
    </row>
    <row r="81" spans="2:9" ht="37.5">
      <c r="B81" s="126"/>
      <c r="C81" s="200" t="s">
        <v>443</v>
      </c>
      <c r="D81" s="201" t="s">
        <v>444</v>
      </c>
      <c r="E81" s="202">
        <f>E11+E12+E52+E53</f>
        <v>553798</v>
      </c>
      <c r="F81" s="202">
        <f>F11+F12+F52+F53</f>
        <v>985288</v>
      </c>
      <c r="G81" s="202">
        <f>G11+G12+G52+G53</f>
        <v>1079756</v>
      </c>
      <c r="H81" s="202">
        <f>H11+H12+H52+H53</f>
        <v>591756</v>
      </c>
      <c r="I81" s="127">
        <f>H81/G81</f>
        <v>0.5480460400312663</v>
      </c>
    </row>
    <row r="82" spans="2:9" ht="18.75">
      <c r="B82" s="126">
        <v>88</v>
      </c>
      <c r="C82" s="119" t="s">
        <v>445</v>
      </c>
      <c r="D82" s="120" t="s">
        <v>446</v>
      </c>
      <c r="E82" s="191">
        <v>149960</v>
      </c>
      <c r="F82" s="191">
        <v>144464</v>
      </c>
      <c r="G82" s="191">
        <v>146464</v>
      </c>
      <c r="H82" s="191">
        <v>149960</v>
      </c>
      <c r="I82" s="127">
        <f>H82/G82</f>
        <v>1.0238693467336684</v>
      </c>
    </row>
    <row r="83" spans="2:9" ht="18.75">
      <c r="B83" s="126"/>
      <c r="C83" s="119" t="s">
        <v>84</v>
      </c>
      <c r="D83" s="101"/>
      <c r="E83" s="191"/>
      <c r="F83" s="191"/>
      <c r="G83" s="191"/>
      <c r="H83" s="191"/>
      <c r="I83" s="127"/>
    </row>
    <row r="84" spans="2:9" ht="56.25">
      <c r="B84" s="126"/>
      <c r="C84" s="119" t="s">
        <v>447</v>
      </c>
      <c r="D84" s="120" t="s">
        <v>448</v>
      </c>
      <c r="E84" s="191">
        <v>130060</v>
      </c>
      <c r="F84" s="191">
        <v>97418</v>
      </c>
      <c r="G84" s="191">
        <v>182645</v>
      </c>
      <c r="H84" s="191">
        <f>H85+H94-H95+H96+H97+H98-H99+H100+H103-H104</f>
        <v>84209</v>
      </c>
      <c r="I84" s="127">
        <f>H84/G84</f>
        <v>0.4610528621095568</v>
      </c>
    </row>
    <row r="85" spans="2:9" ht="37.5">
      <c r="B85" s="126">
        <v>30</v>
      </c>
      <c r="C85" s="119" t="s">
        <v>449</v>
      </c>
      <c r="D85" s="120" t="s">
        <v>450</v>
      </c>
      <c r="E85" s="191">
        <f>E86+E87+E88+E89+E90+E91+E92+E93</f>
        <v>84226</v>
      </c>
      <c r="F85" s="191">
        <f>F86+F87+F88+F89+F90+F91+F92+F93</f>
        <v>84226</v>
      </c>
      <c r="G85" s="191">
        <f>G86+G87+G88+G89+G90+G91+G92+G93</f>
        <v>84226</v>
      </c>
      <c r="H85" s="191">
        <f>H86+H87+H88+H89+H90+H91+H92+H93</f>
        <v>84226</v>
      </c>
      <c r="I85" s="127">
        <f>H85/G85</f>
        <v>1</v>
      </c>
    </row>
    <row r="86" spans="2:9" ht="18.75">
      <c r="B86" s="124">
        <v>300</v>
      </c>
      <c r="C86" s="121" t="s">
        <v>451</v>
      </c>
      <c r="D86" s="120" t="s">
        <v>452</v>
      </c>
      <c r="E86" s="191"/>
      <c r="F86" s="191"/>
      <c r="G86" s="191"/>
      <c r="H86" s="191"/>
      <c r="I86" s="127"/>
    </row>
    <row r="87" spans="2:9" ht="18.75">
      <c r="B87" s="124">
        <v>301</v>
      </c>
      <c r="C87" s="121" t="s">
        <v>453</v>
      </c>
      <c r="D87" s="120" t="s">
        <v>454</v>
      </c>
      <c r="E87" s="191"/>
      <c r="F87" s="191"/>
      <c r="G87" s="191"/>
      <c r="H87" s="191"/>
      <c r="I87" s="127"/>
    </row>
    <row r="88" spans="2:9" ht="18.75">
      <c r="B88" s="124">
        <v>302</v>
      </c>
      <c r="C88" s="121" t="s">
        <v>455</v>
      </c>
      <c r="D88" s="120" t="s">
        <v>456</v>
      </c>
      <c r="E88" s="191"/>
      <c r="F88" s="191"/>
      <c r="G88" s="191"/>
      <c r="H88" s="191"/>
      <c r="I88" s="127"/>
    </row>
    <row r="89" spans="2:9" ht="18.75">
      <c r="B89" s="124">
        <v>303</v>
      </c>
      <c r="C89" s="121" t="s">
        <v>457</v>
      </c>
      <c r="D89" s="120" t="s">
        <v>458</v>
      </c>
      <c r="E89" s="191">
        <v>84226</v>
      </c>
      <c r="F89" s="191">
        <v>84226</v>
      </c>
      <c r="G89" s="191">
        <v>84226</v>
      </c>
      <c r="H89" s="191">
        <v>84226</v>
      </c>
      <c r="I89" s="127">
        <f>H89/G89</f>
        <v>1</v>
      </c>
    </row>
    <row r="90" spans="2:9" ht="18.75">
      <c r="B90" s="124">
        <v>304</v>
      </c>
      <c r="C90" s="121" t="s">
        <v>459</v>
      </c>
      <c r="D90" s="120" t="s">
        <v>460</v>
      </c>
      <c r="E90" s="191"/>
      <c r="F90" s="191"/>
      <c r="G90" s="191"/>
      <c r="H90" s="191"/>
      <c r="I90" s="127"/>
    </row>
    <row r="91" spans="2:9" ht="18.75">
      <c r="B91" s="124">
        <v>305</v>
      </c>
      <c r="C91" s="121" t="s">
        <v>461</v>
      </c>
      <c r="D91" s="120" t="s">
        <v>462</v>
      </c>
      <c r="E91" s="191"/>
      <c r="F91" s="191"/>
      <c r="G91" s="191"/>
      <c r="H91" s="191"/>
      <c r="I91" s="127"/>
    </row>
    <row r="92" spans="2:9" ht="18.75">
      <c r="B92" s="124">
        <v>306</v>
      </c>
      <c r="C92" s="121" t="s">
        <v>463</v>
      </c>
      <c r="D92" s="120" t="s">
        <v>464</v>
      </c>
      <c r="E92" s="191"/>
      <c r="F92" s="191"/>
      <c r="G92" s="191"/>
      <c r="H92" s="191"/>
      <c r="I92" s="127"/>
    </row>
    <row r="93" spans="2:9" ht="18.75">
      <c r="B93" s="124">
        <v>309</v>
      </c>
      <c r="C93" s="121" t="s">
        <v>465</v>
      </c>
      <c r="D93" s="120" t="s">
        <v>466</v>
      </c>
      <c r="E93" s="191"/>
      <c r="F93" s="191"/>
      <c r="G93" s="191"/>
      <c r="H93" s="191"/>
      <c r="I93" s="127"/>
    </row>
    <row r="94" spans="2:9" ht="18.75">
      <c r="B94" s="126">
        <v>31</v>
      </c>
      <c r="C94" s="119" t="s">
        <v>467</v>
      </c>
      <c r="D94" s="120" t="s">
        <v>468</v>
      </c>
      <c r="E94" s="191"/>
      <c r="F94" s="191"/>
      <c r="G94" s="191"/>
      <c r="H94" s="191"/>
      <c r="I94" s="127"/>
    </row>
    <row r="95" spans="2:9" ht="18.75">
      <c r="B95" s="126" t="s">
        <v>469</v>
      </c>
      <c r="C95" s="119" t="s">
        <v>470</v>
      </c>
      <c r="D95" s="120" t="s">
        <v>471</v>
      </c>
      <c r="E95" s="191"/>
      <c r="F95" s="191"/>
      <c r="G95" s="191"/>
      <c r="H95" s="191"/>
      <c r="I95" s="127"/>
    </row>
    <row r="96" spans="2:9" ht="18.75">
      <c r="B96" s="126">
        <v>32</v>
      </c>
      <c r="C96" s="119" t="s">
        <v>472</v>
      </c>
      <c r="D96" s="120" t="s">
        <v>473</v>
      </c>
      <c r="E96" s="191"/>
      <c r="F96" s="191"/>
      <c r="G96" s="191"/>
      <c r="H96" s="191"/>
      <c r="I96" s="127"/>
    </row>
    <row r="97" spans="2:9" ht="56.25">
      <c r="B97" s="126">
        <v>330</v>
      </c>
      <c r="C97" s="119" t="s">
        <v>474</v>
      </c>
      <c r="D97" s="120" t="s">
        <v>475</v>
      </c>
      <c r="E97" s="191">
        <v>87400</v>
      </c>
      <c r="F97" s="191">
        <v>87000</v>
      </c>
      <c r="G97" s="191">
        <v>90588</v>
      </c>
      <c r="H97" s="191">
        <v>87400</v>
      </c>
      <c r="I97" s="127">
        <f>H97/G97</f>
        <v>0.9648077007992228</v>
      </c>
    </row>
    <row r="98" spans="2:9" ht="93.75">
      <c r="B98" s="126" t="s">
        <v>476</v>
      </c>
      <c r="C98" s="119" t="s">
        <v>477</v>
      </c>
      <c r="D98" s="120" t="s">
        <v>478</v>
      </c>
      <c r="E98" s="191"/>
      <c r="F98" s="191"/>
      <c r="G98" s="191"/>
      <c r="H98" s="191"/>
      <c r="I98" s="127"/>
    </row>
    <row r="99" spans="2:9" ht="75">
      <c r="B99" s="126" t="s">
        <v>476</v>
      </c>
      <c r="C99" s="119" t="s">
        <v>479</v>
      </c>
      <c r="D99" s="120" t="s">
        <v>480</v>
      </c>
      <c r="E99" s="191">
        <v>50</v>
      </c>
      <c r="F99" s="191"/>
      <c r="G99" s="191"/>
      <c r="H99" s="191">
        <v>50</v>
      </c>
      <c r="I99" s="127"/>
    </row>
    <row r="100" spans="2:9" ht="18.75">
      <c r="B100" s="126">
        <v>34</v>
      </c>
      <c r="C100" s="119" t="s">
        <v>481</v>
      </c>
      <c r="D100" s="120" t="s">
        <v>482</v>
      </c>
      <c r="E100" s="191">
        <f>E101+E102</f>
        <v>145149</v>
      </c>
      <c r="F100" s="191">
        <f>F101+F102</f>
        <v>26882</v>
      </c>
      <c r="G100" s="191">
        <f>G101+G102</f>
        <v>194495</v>
      </c>
      <c r="H100" s="191">
        <f>H101+H102</f>
        <v>145176</v>
      </c>
      <c r="I100" s="127"/>
    </row>
    <row r="101" spans="2:9" ht="18.75">
      <c r="B101" s="124">
        <v>340</v>
      </c>
      <c r="C101" s="121" t="s">
        <v>483</v>
      </c>
      <c r="D101" s="120" t="s">
        <v>484</v>
      </c>
      <c r="E101" s="191">
        <v>3189</v>
      </c>
      <c r="F101" s="191">
        <v>0</v>
      </c>
      <c r="G101" s="191">
        <v>85974</v>
      </c>
      <c r="H101" s="191">
        <v>145176</v>
      </c>
      <c r="I101" s="127"/>
    </row>
    <row r="102" spans="2:9" ht="18.75">
      <c r="B102" s="124">
        <v>341</v>
      </c>
      <c r="C102" s="121" t="s">
        <v>485</v>
      </c>
      <c r="D102" s="120" t="s">
        <v>486</v>
      </c>
      <c r="E102" s="191">
        <v>141960</v>
      </c>
      <c r="F102" s="191">
        <v>26882</v>
      </c>
      <c r="G102" s="191">
        <v>108521</v>
      </c>
      <c r="H102" s="191"/>
      <c r="I102" s="127"/>
    </row>
    <row r="103" spans="2:9" ht="18.75">
      <c r="B103" s="126"/>
      <c r="C103" s="119" t="s">
        <v>487</v>
      </c>
      <c r="D103" s="120" t="s">
        <v>488</v>
      </c>
      <c r="E103" s="191"/>
      <c r="F103" s="191"/>
      <c r="G103" s="191"/>
      <c r="H103" s="191"/>
      <c r="I103" s="127"/>
    </row>
    <row r="104" spans="2:9" ht="18.75">
      <c r="B104" s="126">
        <v>35</v>
      </c>
      <c r="C104" s="119" t="s">
        <v>489</v>
      </c>
      <c r="D104" s="120" t="s">
        <v>490</v>
      </c>
      <c r="E104" s="191">
        <f>E105</f>
        <v>186665</v>
      </c>
      <c r="F104" s="191">
        <v>88430</v>
      </c>
      <c r="G104" s="191">
        <f>G105+G106</f>
        <v>186664</v>
      </c>
      <c r="H104" s="191">
        <f>H105+H106</f>
        <v>232543</v>
      </c>
      <c r="I104" s="127">
        <f>H104/G104</f>
        <v>1.2457838683409763</v>
      </c>
    </row>
    <row r="105" spans="2:9" ht="18.75">
      <c r="B105" s="124">
        <v>350</v>
      </c>
      <c r="C105" s="121" t="s">
        <v>491</v>
      </c>
      <c r="D105" s="120" t="s">
        <v>492</v>
      </c>
      <c r="E105" s="191">
        <v>186665</v>
      </c>
      <c r="F105" s="191">
        <v>100690</v>
      </c>
      <c r="G105" s="191">
        <v>186664</v>
      </c>
      <c r="H105" s="191">
        <v>186664</v>
      </c>
      <c r="I105" s="127">
        <f>H105/G105</f>
        <v>1</v>
      </c>
    </row>
    <row r="106" spans="2:9" ht="18.75">
      <c r="B106" s="124">
        <v>351</v>
      </c>
      <c r="C106" s="121" t="s">
        <v>493</v>
      </c>
      <c r="D106" s="120" t="s">
        <v>494</v>
      </c>
      <c r="E106" s="191"/>
      <c r="F106" s="191"/>
      <c r="G106" s="191"/>
      <c r="H106" s="191">
        <v>45879</v>
      </c>
      <c r="I106" s="127"/>
    </row>
    <row r="107" spans="2:9" ht="37.5">
      <c r="B107" s="126"/>
      <c r="C107" s="119" t="s">
        <v>495</v>
      </c>
      <c r="D107" s="120" t="s">
        <v>496</v>
      </c>
      <c r="E107" s="191">
        <f>E108+E115</f>
        <v>11039</v>
      </c>
      <c r="F107" s="191">
        <f>F108+F115</f>
        <v>16500</v>
      </c>
      <c r="G107" s="191">
        <f>G108+G115</f>
        <v>15000</v>
      </c>
      <c r="H107" s="191">
        <f>H108+H115</f>
        <v>10629</v>
      </c>
      <c r="I107" s="127">
        <f>H107/G107</f>
        <v>0.7086</v>
      </c>
    </row>
    <row r="108" spans="2:9" ht="37.5">
      <c r="B108" s="126">
        <v>40</v>
      </c>
      <c r="C108" s="119" t="s">
        <v>497</v>
      </c>
      <c r="D108" s="120" t="s">
        <v>498</v>
      </c>
      <c r="E108" s="191">
        <f>E109+E110+E111+E112+E113+E114</f>
        <v>11039</v>
      </c>
      <c r="F108" s="191">
        <f>F109+F110+F111+F112+F113+F114</f>
        <v>16500</v>
      </c>
      <c r="G108" s="191">
        <f>G109+G110+G111+G112+G113+G114</f>
        <v>15000</v>
      </c>
      <c r="H108" s="191">
        <f>H109+H110+H111+H112+H113+H114</f>
        <v>10629</v>
      </c>
      <c r="I108" s="127">
        <f>H108/G108</f>
        <v>0.7086</v>
      </c>
    </row>
    <row r="109" spans="2:9" ht="18.75">
      <c r="B109" s="124">
        <v>400</v>
      </c>
      <c r="C109" s="121" t="s">
        <v>499</v>
      </c>
      <c r="D109" s="120" t="s">
        <v>500</v>
      </c>
      <c r="E109" s="191"/>
      <c r="F109" s="191"/>
      <c r="G109" s="191"/>
      <c r="H109" s="191"/>
      <c r="I109" s="127"/>
    </row>
    <row r="110" spans="2:9" ht="37.5">
      <c r="B110" s="124">
        <v>401</v>
      </c>
      <c r="C110" s="121" t="s">
        <v>501</v>
      </c>
      <c r="D110" s="120" t="s">
        <v>502</v>
      </c>
      <c r="E110" s="191"/>
      <c r="F110" s="191"/>
      <c r="G110" s="191"/>
      <c r="H110" s="191"/>
      <c r="I110" s="127"/>
    </row>
    <row r="111" spans="2:9" ht="18.75">
      <c r="B111" s="124">
        <v>403</v>
      </c>
      <c r="C111" s="121" t="s">
        <v>503</v>
      </c>
      <c r="D111" s="120" t="s">
        <v>504</v>
      </c>
      <c r="E111" s="191"/>
      <c r="F111" s="191"/>
      <c r="G111" s="191"/>
      <c r="H111" s="191"/>
      <c r="I111" s="127"/>
    </row>
    <row r="112" spans="2:9" ht="18.75">
      <c r="B112" s="124">
        <v>404</v>
      </c>
      <c r="C112" s="121" t="s">
        <v>505</v>
      </c>
      <c r="D112" s="120" t="s">
        <v>506</v>
      </c>
      <c r="E112" s="191">
        <v>11039</v>
      </c>
      <c r="F112" s="191">
        <v>16500</v>
      </c>
      <c r="G112" s="191">
        <v>15000</v>
      </c>
      <c r="H112" s="191">
        <v>10629</v>
      </c>
      <c r="I112" s="127">
        <f>H112/G112</f>
        <v>0.7086</v>
      </c>
    </row>
    <row r="113" spans="2:9" ht="18.75">
      <c r="B113" s="124">
        <v>405</v>
      </c>
      <c r="C113" s="121" t="s">
        <v>507</v>
      </c>
      <c r="D113" s="120" t="s">
        <v>508</v>
      </c>
      <c r="E113" s="191"/>
      <c r="F113" s="191"/>
      <c r="G113" s="191"/>
      <c r="H113" s="191"/>
      <c r="I113" s="127"/>
    </row>
    <row r="114" spans="2:9" ht="18.75">
      <c r="B114" s="124" t="s">
        <v>509</v>
      </c>
      <c r="C114" s="121" t="s">
        <v>510</v>
      </c>
      <c r="D114" s="120" t="s">
        <v>511</v>
      </c>
      <c r="E114" s="191"/>
      <c r="F114" s="191"/>
      <c r="G114" s="191"/>
      <c r="H114" s="191"/>
      <c r="I114" s="127"/>
    </row>
    <row r="115" spans="2:9" ht="37.5">
      <c r="B115" s="126">
        <v>41</v>
      </c>
      <c r="C115" s="119" t="s">
        <v>512</v>
      </c>
      <c r="D115" s="120" t="s">
        <v>513</v>
      </c>
      <c r="E115" s="191">
        <f>E116+E117+E118+E119+E120+E121+E122+E123</f>
        <v>0</v>
      </c>
      <c r="F115" s="191">
        <f>F116+F117+F118+F119+F120+F121+F122+F123</f>
        <v>0</v>
      </c>
      <c r="G115" s="191">
        <f>G116+G117+G118+G119+G120+G121+G122+G123</f>
        <v>0</v>
      </c>
      <c r="H115" s="191">
        <f>H116+H117+H118+H119+H120+H121+H122+H123</f>
        <v>0</v>
      </c>
      <c r="I115" s="127"/>
    </row>
    <row r="116" spans="2:9" ht="18.75">
      <c r="B116" s="124">
        <v>410</v>
      </c>
      <c r="C116" s="121" t="s">
        <v>514</v>
      </c>
      <c r="D116" s="120" t="s">
        <v>515</v>
      </c>
      <c r="E116" s="191"/>
      <c r="F116" s="191"/>
      <c r="G116" s="191"/>
      <c r="H116" s="191"/>
      <c r="I116" s="127"/>
    </row>
    <row r="117" spans="2:9" ht="18.75">
      <c r="B117" s="124">
        <v>411</v>
      </c>
      <c r="C117" s="121" t="s">
        <v>516</v>
      </c>
      <c r="D117" s="120" t="s">
        <v>517</v>
      </c>
      <c r="E117" s="191"/>
      <c r="F117" s="191"/>
      <c r="G117" s="191"/>
      <c r="H117" s="191"/>
      <c r="I117" s="127"/>
    </row>
    <row r="118" spans="2:9" ht="18.75">
      <c r="B118" s="124">
        <v>412</v>
      </c>
      <c r="C118" s="121" t="s">
        <v>518</v>
      </c>
      <c r="D118" s="120" t="s">
        <v>519</v>
      </c>
      <c r="E118" s="191"/>
      <c r="F118" s="191"/>
      <c r="G118" s="191"/>
      <c r="H118" s="191"/>
      <c r="I118" s="127"/>
    </row>
    <row r="119" spans="2:9" ht="37.5">
      <c r="B119" s="124">
        <v>413</v>
      </c>
      <c r="C119" s="121" t="s">
        <v>520</v>
      </c>
      <c r="D119" s="120" t="s">
        <v>521</v>
      </c>
      <c r="E119" s="191"/>
      <c r="F119" s="191"/>
      <c r="G119" s="191"/>
      <c r="H119" s="191"/>
      <c r="I119" s="127"/>
    </row>
    <row r="120" spans="2:9" ht="18.75">
      <c r="B120" s="124">
        <v>414</v>
      </c>
      <c r="C120" s="121" t="s">
        <v>522</v>
      </c>
      <c r="D120" s="120" t="s">
        <v>523</v>
      </c>
      <c r="E120" s="191"/>
      <c r="F120" s="191"/>
      <c r="G120" s="191"/>
      <c r="H120" s="191"/>
      <c r="I120" s="127"/>
    </row>
    <row r="121" spans="2:9" ht="18.75">
      <c r="B121" s="124">
        <v>415</v>
      </c>
      <c r="C121" s="121" t="s">
        <v>524</v>
      </c>
      <c r="D121" s="120" t="s">
        <v>525</v>
      </c>
      <c r="E121" s="191"/>
      <c r="F121" s="191"/>
      <c r="G121" s="191"/>
      <c r="H121" s="191"/>
      <c r="I121" s="127"/>
    </row>
    <row r="122" spans="2:9" ht="18.75">
      <c r="B122" s="124">
        <v>416</v>
      </c>
      <c r="C122" s="121" t="s">
        <v>526</v>
      </c>
      <c r="D122" s="120" t="s">
        <v>527</v>
      </c>
      <c r="E122" s="191"/>
      <c r="F122" s="191"/>
      <c r="G122" s="191"/>
      <c r="H122" s="191"/>
      <c r="I122" s="127"/>
    </row>
    <row r="123" spans="2:9" ht="18.75">
      <c r="B123" s="124">
        <v>419</v>
      </c>
      <c r="C123" s="121" t="s">
        <v>528</v>
      </c>
      <c r="D123" s="120" t="s">
        <v>529</v>
      </c>
      <c r="E123" s="191"/>
      <c r="F123" s="191"/>
      <c r="G123" s="191"/>
      <c r="H123" s="191"/>
      <c r="I123" s="127"/>
    </row>
    <row r="124" spans="2:9" ht="18.75">
      <c r="B124" s="126">
        <v>498</v>
      </c>
      <c r="C124" s="119" t="s">
        <v>530</v>
      </c>
      <c r="D124" s="120" t="s">
        <v>531</v>
      </c>
      <c r="E124" s="191">
        <v>8213</v>
      </c>
      <c r="F124" s="191">
        <v>30000</v>
      </c>
      <c r="G124" s="191">
        <v>33000</v>
      </c>
      <c r="H124" s="191">
        <v>8213</v>
      </c>
      <c r="I124" s="127">
        <f>H124/G124</f>
        <v>0.24887878787878787</v>
      </c>
    </row>
    <row r="125" spans="2:14" ht="37.5">
      <c r="B125" s="126" t="s">
        <v>532</v>
      </c>
      <c r="C125" s="119" t="s">
        <v>533</v>
      </c>
      <c r="D125" s="120" t="s">
        <v>534</v>
      </c>
      <c r="E125" s="191">
        <f>E126+E133+E134+E142+E143+E144+E145</f>
        <v>404486</v>
      </c>
      <c r="F125" s="191">
        <f>F126+F133+F134+F142+F143+F144+F145</f>
        <v>841370</v>
      </c>
      <c r="G125" s="191">
        <f>G126+G133+G134+G142+G143+G144+G145</f>
        <v>849111</v>
      </c>
      <c r="H125" s="191">
        <f>H126+H133+H134+H142+H143+H144+H145</f>
        <v>488705</v>
      </c>
      <c r="I125" s="127">
        <f>H125/G125</f>
        <v>0.5755490153819701</v>
      </c>
      <c r="N125" s="199"/>
    </row>
    <row r="126" spans="2:9" ht="37.5">
      <c r="B126" s="126">
        <v>42</v>
      </c>
      <c r="C126" s="119" t="s">
        <v>535</v>
      </c>
      <c r="D126" s="120" t="s">
        <v>536</v>
      </c>
      <c r="E126" s="191">
        <f>E127+E128+E129+E130+E131+E132</f>
        <v>22799</v>
      </c>
      <c r="F126" s="191">
        <f>F127+F128+F129+F130+F131+F132</f>
        <v>0</v>
      </c>
      <c r="G126" s="191">
        <f>G127+G128+G129+G130+G131+G132</f>
        <v>22458</v>
      </c>
      <c r="H126" s="191">
        <f>H127+H128+H129+H130+H131+H132</f>
        <v>5762</v>
      </c>
      <c r="I126" s="127">
        <f>H126/G126</f>
        <v>0.25656781547778074</v>
      </c>
    </row>
    <row r="127" spans="2:9" ht="37.5">
      <c r="B127" s="124">
        <v>420</v>
      </c>
      <c r="C127" s="121" t="s">
        <v>537</v>
      </c>
      <c r="D127" s="120" t="s">
        <v>538</v>
      </c>
      <c r="E127" s="191"/>
      <c r="F127" s="191"/>
      <c r="G127" s="191"/>
      <c r="H127" s="191"/>
      <c r="I127" s="127"/>
    </row>
    <row r="128" spans="2:9" ht="18.75">
      <c r="B128" s="124">
        <v>421</v>
      </c>
      <c r="C128" s="121" t="s">
        <v>539</v>
      </c>
      <c r="D128" s="120" t="s">
        <v>540</v>
      </c>
      <c r="E128" s="191"/>
      <c r="F128" s="191"/>
      <c r="G128" s="191"/>
      <c r="H128" s="191"/>
      <c r="I128" s="127"/>
    </row>
    <row r="129" spans="2:9" ht="18.75">
      <c r="B129" s="124">
        <v>422</v>
      </c>
      <c r="C129" s="121" t="s">
        <v>428</v>
      </c>
      <c r="D129" s="120" t="s">
        <v>541</v>
      </c>
      <c r="E129" s="191"/>
      <c r="F129" s="191"/>
      <c r="G129" s="191"/>
      <c r="H129" s="191"/>
      <c r="I129" s="127"/>
    </row>
    <row r="130" spans="2:9" ht="18.75">
      <c r="B130" s="124">
        <v>423</v>
      </c>
      <c r="C130" s="121" t="s">
        <v>431</v>
      </c>
      <c r="D130" s="120" t="s">
        <v>542</v>
      </c>
      <c r="E130" s="191"/>
      <c r="F130" s="191"/>
      <c r="G130" s="191"/>
      <c r="H130" s="191"/>
      <c r="I130" s="127"/>
    </row>
    <row r="131" spans="2:9" ht="37.5">
      <c r="B131" s="124">
        <v>427</v>
      </c>
      <c r="C131" s="121" t="s">
        <v>543</v>
      </c>
      <c r="D131" s="120" t="s">
        <v>544</v>
      </c>
      <c r="E131" s="191"/>
      <c r="F131" s="191"/>
      <c r="G131" s="191"/>
      <c r="H131" s="191"/>
      <c r="I131" s="127"/>
    </row>
    <row r="132" spans="2:9" ht="18.75">
      <c r="B132" s="124" t="s">
        <v>545</v>
      </c>
      <c r="C132" s="121" t="s">
        <v>546</v>
      </c>
      <c r="D132" s="120" t="s">
        <v>547</v>
      </c>
      <c r="E132" s="191">
        <v>22799</v>
      </c>
      <c r="F132" s="191">
        <v>0</v>
      </c>
      <c r="G132" s="191">
        <v>22458</v>
      </c>
      <c r="H132" s="191">
        <v>5762</v>
      </c>
      <c r="I132" s="127">
        <f>H132/G132</f>
        <v>0.25656781547778074</v>
      </c>
    </row>
    <row r="133" spans="2:9" ht="18.75">
      <c r="B133" s="126">
        <v>430</v>
      </c>
      <c r="C133" s="119" t="s">
        <v>548</v>
      </c>
      <c r="D133" s="120" t="s">
        <v>549</v>
      </c>
      <c r="E133" s="191">
        <v>1765</v>
      </c>
      <c r="F133" s="191">
        <v>25000</v>
      </c>
      <c r="G133" s="191"/>
      <c r="H133" s="191">
        <v>22863</v>
      </c>
      <c r="I133" s="127"/>
    </row>
    <row r="134" spans="2:9" ht="37.5">
      <c r="B134" s="126" t="s">
        <v>550</v>
      </c>
      <c r="C134" s="119" t="s">
        <v>551</v>
      </c>
      <c r="D134" s="120" t="s">
        <v>552</v>
      </c>
      <c r="E134" s="191">
        <f>E135+E136+E137+E138+E139+E140+E141</f>
        <v>30379</v>
      </c>
      <c r="F134" s="191">
        <f>F135+F136+F137+F138+F139+F140+F141</f>
        <v>46057</v>
      </c>
      <c r="G134" s="191">
        <f>G135+G136+G137+G138+G139+G140+G141</f>
        <v>43685</v>
      </c>
      <c r="H134" s="191">
        <f>H135+H136+H137+H138+H139+H140+H141</f>
        <v>125224</v>
      </c>
      <c r="I134" s="127">
        <f>H134/G134</f>
        <v>2.8665216893670595</v>
      </c>
    </row>
    <row r="135" spans="2:9" ht="18.75">
      <c r="B135" s="124">
        <v>431</v>
      </c>
      <c r="C135" s="121" t="s">
        <v>553</v>
      </c>
      <c r="D135" s="120" t="s">
        <v>554</v>
      </c>
      <c r="E135" s="191"/>
      <c r="F135" s="191"/>
      <c r="G135" s="191"/>
      <c r="H135" s="191"/>
      <c r="I135" s="127"/>
    </row>
    <row r="136" spans="2:9" ht="37.5">
      <c r="B136" s="124">
        <v>432</v>
      </c>
      <c r="C136" s="121" t="s">
        <v>555</v>
      </c>
      <c r="D136" s="120" t="s">
        <v>556</v>
      </c>
      <c r="E136" s="191"/>
      <c r="F136" s="191"/>
      <c r="G136" s="191"/>
      <c r="H136" s="191"/>
      <c r="I136" s="127"/>
    </row>
    <row r="137" spans="2:9" ht="18.75">
      <c r="B137" s="124">
        <v>433</v>
      </c>
      <c r="C137" s="121" t="s">
        <v>557</v>
      </c>
      <c r="D137" s="120" t="s">
        <v>558</v>
      </c>
      <c r="E137" s="191"/>
      <c r="F137" s="191"/>
      <c r="G137" s="191"/>
      <c r="H137" s="191"/>
      <c r="I137" s="127"/>
    </row>
    <row r="138" spans="2:9" ht="18.75">
      <c r="B138" s="124">
        <v>434</v>
      </c>
      <c r="C138" s="121" t="s">
        <v>559</v>
      </c>
      <c r="D138" s="120" t="s">
        <v>560</v>
      </c>
      <c r="E138" s="191"/>
      <c r="F138" s="191"/>
      <c r="G138" s="191"/>
      <c r="H138" s="191"/>
      <c r="I138" s="127"/>
    </row>
    <row r="139" spans="2:9" ht="18.75">
      <c r="B139" s="124">
        <v>435</v>
      </c>
      <c r="C139" s="121" t="s">
        <v>561</v>
      </c>
      <c r="D139" s="120" t="s">
        <v>562</v>
      </c>
      <c r="E139" s="191">
        <v>30379</v>
      </c>
      <c r="F139" s="191">
        <v>46057</v>
      </c>
      <c r="G139" s="191">
        <v>43685</v>
      </c>
      <c r="H139" s="191">
        <v>125224</v>
      </c>
      <c r="I139" s="127">
        <f>H139/G139</f>
        <v>2.8665216893670595</v>
      </c>
    </row>
    <row r="140" spans="2:9" ht="18.75">
      <c r="B140" s="124">
        <v>436</v>
      </c>
      <c r="C140" s="121" t="s">
        <v>563</v>
      </c>
      <c r="D140" s="120" t="s">
        <v>564</v>
      </c>
      <c r="E140" s="191"/>
      <c r="F140" s="191"/>
      <c r="G140" s="191"/>
      <c r="H140" s="191"/>
      <c r="I140" s="127"/>
    </row>
    <row r="141" spans="2:9" ht="18.75">
      <c r="B141" s="124">
        <v>439</v>
      </c>
      <c r="C141" s="121" t="s">
        <v>565</v>
      </c>
      <c r="D141" s="120" t="s">
        <v>566</v>
      </c>
      <c r="E141" s="191"/>
      <c r="F141" s="191"/>
      <c r="G141" s="191"/>
      <c r="H141" s="191"/>
      <c r="I141" s="127"/>
    </row>
    <row r="142" spans="2:9" ht="18.75">
      <c r="B142" s="126" t="s">
        <v>567</v>
      </c>
      <c r="C142" s="119" t="s">
        <v>568</v>
      </c>
      <c r="D142" s="120" t="s">
        <v>569</v>
      </c>
      <c r="E142" s="191">
        <v>124584</v>
      </c>
      <c r="F142" s="191">
        <v>163138</v>
      </c>
      <c r="G142" s="191">
        <v>162968</v>
      </c>
      <c r="H142" s="191">
        <v>111210</v>
      </c>
      <c r="I142" s="127">
        <f aca="true" t="shared" si="0" ref="I142:I148">H142/G142</f>
        <v>0.6824039075155859</v>
      </c>
    </row>
    <row r="143" spans="2:9" ht="37.5">
      <c r="B143" s="126">
        <v>47</v>
      </c>
      <c r="C143" s="119" t="s">
        <v>570</v>
      </c>
      <c r="D143" s="120" t="s">
        <v>571</v>
      </c>
      <c r="E143" s="191"/>
      <c r="F143" s="191"/>
      <c r="G143" s="191"/>
      <c r="H143" s="191">
        <v>12169</v>
      </c>
      <c r="I143" s="127"/>
    </row>
    <row r="144" spans="2:9" ht="37.5">
      <c r="B144" s="126">
        <v>48</v>
      </c>
      <c r="C144" s="119" t="s">
        <v>572</v>
      </c>
      <c r="D144" s="120" t="s">
        <v>573</v>
      </c>
      <c r="E144" s="191">
        <v>13463</v>
      </c>
      <c r="F144" s="191"/>
      <c r="G144" s="191"/>
      <c r="H144" s="191"/>
      <c r="I144" s="127"/>
    </row>
    <row r="145" spans="2:9" ht="18.75">
      <c r="B145" s="126" t="s">
        <v>574</v>
      </c>
      <c r="C145" s="119" t="s">
        <v>575</v>
      </c>
      <c r="D145" s="120" t="s">
        <v>576</v>
      </c>
      <c r="E145" s="191">
        <v>211496</v>
      </c>
      <c r="F145" s="191">
        <v>607175</v>
      </c>
      <c r="G145" s="191">
        <v>620000</v>
      </c>
      <c r="H145" s="191">
        <v>211477</v>
      </c>
      <c r="I145" s="127">
        <f t="shared" si="0"/>
        <v>0.34109193548387096</v>
      </c>
    </row>
    <row r="146" spans="2:9" ht="56.25">
      <c r="B146" s="126"/>
      <c r="C146" s="119" t="s">
        <v>577</v>
      </c>
      <c r="D146" s="120" t="s">
        <v>578</v>
      </c>
      <c r="E146" s="191">
        <v>0</v>
      </c>
      <c r="F146" s="191">
        <v>0</v>
      </c>
      <c r="G146" s="191">
        <v>0</v>
      </c>
      <c r="H146" s="191"/>
      <c r="I146" s="127"/>
    </row>
    <row r="147" spans="2:9" ht="37.5">
      <c r="B147" s="126"/>
      <c r="C147" s="200" t="s">
        <v>579</v>
      </c>
      <c r="D147" s="201" t="s">
        <v>580</v>
      </c>
      <c r="E147" s="202">
        <f>E107+E125+E124+E84-E146</f>
        <v>553798</v>
      </c>
      <c r="F147" s="202">
        <f>F107+F125+F124+F84-F146</f>
        <v>985288</v>
      </c>
      <c r="G147" s="202">
        <f>G107+G125+G124+G84-G146</f>
        <v>1079756</v>
      </c>
      <c r="H147" s="202">
        <f>H107+H125+H124+H84-H146</f>
        <v>591756</v>
      </c>
      <c r="I147" s="127">
        <f t="shared" si="0"/>
        <v>0.5480460400312663</v>
      </c>
    </row>
    <row r="148" spans="2:9" ht="19.5" thickBot="1">
      <c r="B148" s="128">
        <v>89</v>
      </c>
      <c r="C148" s="129" t="s">
        <v>581</v>
      </c>
      <c r="D148" s="130" t="s">
        <v>582</v>
      </c>
      <c r="E148" s="197">
        <v>149960</v>
      </c>
      <c r="F148" s="197">
        <v>144464</v>
      </c>
      <c r="G148" s="197">
        <v>146464</v>
      </c>
      <c r="H148" s="191">
        <v>149960</v>
      </c>
      <c r="I148" s="127">
        <f t="shared" si="0"/>
        <v>1.0238693467336684</v>
      </c>
    </row>
    <row r="151" spans="2:9" ht="18.75">
      <c r="B151" s="196" t="s">
        <v>877</v>
      </c>
      <c r="C151" s="67" t="s">
        <v>1497</v>
      </c>
      <c r="D151" s="68" t="s">
        <v>64</v>
      </c>
      <c r="E151" s="67" t="s">
        <v>878</v>
      </c>
      <c r="F151" s="212"/>
      <c r="G151" s="213"/>
      <c r="H151" s="68"/>
      <c r="I151" s="70"/>
    </row>
    <row r="153" spans="6:7" ht="15.75">
      <c r="F153" s="628" t="s">
        <v>879</v>
      </c>
      <c r="G153" s="628"/>
    </row>
  </sheetData>
  <sheetProtection/>
  <mergeCells count="9">
    <mergeCell ref="F153:G153"/>
    <mergeCell ref="F8:F9"/>
    <mergeCell ref="G8:H8"/>
    <mergeCell ref="I8:I9"/>
    <mergeCell ref="B6:H6"/>
    <mergeCell ref="B8:B9"/>
    <mergeCell ref="C8:C9"/>
    <mergeCell ref="E8:E9"/>
    <mergeCell ref="D8:D9"/>
  </mergeCells>
  <printOptions/>
  <pageMargins left="0.15748031496062992" right="0.15748031496062992" top="0.3937007874015748" bottom="0.3937007874015748" header="0.5118110236220472" footer="0.5118110236220472"/>
  <pageSetup fitToHeight="0" fitToWidth="1" horizontalDpi="600" verticalDpi="600" orientation="landscape" scale="62"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2:I70"/>
  <sheetViews>
    <sheetView view="pageBreakPreview" zoomScale="70" zoomScaleNormal="60" zoomScaleSheetLayoutView="70" zoomScalePageLayoutView="0" workbookViewId="0" topLeftCell="A1">
      <selection activeCell="B2" sqref="B2:J76"/>
    </sheetView>
  </sheetViews>
  <sheetFormatPr defaultColWidth="9.140625" defaultRowHeight="12.75"/>
  <cols>
    <col min="2" max="2" width="13.00390625" style="0" customWidth="1"/>
    <col min="3" max="3" width="78.140625" style="0" customWidth="1"/>
    <col min="4" max="4" width="7.00390625" style="0" bestFit="1" customWidth="1"/>
    <col min="5" max="5" width="21.421875" style="215" bestFit="1" customWidth="1"/>
    <col min="6" max="6" width="19.7109375" style="0" bestFit="1" customWidth="1"/>
    <col min="7" max="7" width="20.57421875" style="0" customWidth="1"/>
    <col min="8" max="8" width="24.140625" style="0" customWidth="1"/>
    <col min="9" max="9" width="26.421875" style="134" customWidth="1"/>
  </cols>
  <sheetData>
    <row r="2" ht="15.75">
      <c r="I2" s="11" t="s">
        <v>107</v>
      </c>
    </row>
    <row r="3" spans="2:9" s="2" customFormat="1" ht="15.75">
      <c r="B3" s="13" t="s">
        <v>869</v>
      </c>
      <c r="C3" s="22"/>
      <c r="D3" s="45"/>
      <c r="E3" s="153"/>
      <c r="I3" s="42"/>
    </row>
    <row r="4" spans="2:9" s="2" customFormat="1" ht="15.75">
      <c r="B4" s="13" t="s">
        <v>862</v>
      </c>
      <c r="C4" s="22"/>
      <c r="D4" s="45"/>
      <c r="E4" s="153"/>
      <c r="I4" s="42"/>
    </row>
    <row r="5" ht="24.75" customHeight="1">
      <c r="I5" s="11"/>
    </row>
    <row r="6" spans="2:9" s="49" customFormat="1" ht="24.75" customHeight="1">
      <c r="B6" s="629" t="s">
        <v>88</v>
      </c>
      <c r="C6" s="629"/>
      <c r="D6" s="629"/>
      <c r="E6" s="629"/>
      <c r="F6" s="629"/>
      <c r="G6" s="629"/>
      <c r="H6" s="629"/>
      <c r="I6" s="629"/>
    </row>
    <row r="7" spans="2:9" s="49" customFormat="1" ht="24.75" customHeight="1">
      <c r="B7" s="11"/>
      <c r="C7" s="11"/>
      <c r="D7" s="11"/>
      <c r="E7" s="155"/>
      <c r="F7" s="11"/>
      <c r="G7" s="11"/>
      <c r="H7" s="11"/>
      <c r="I7" s="11"/>
    </row>
    <row r="8" spans="2:9" s="49" customFormat="1" ht="24.75" customHeight="1">
      <c r="B8" s="629" t="s">
        <v>1481</v>
      </c>
      <c r="C8" s="629"/>
      <c r="D8" s="629"/>
      <c r="E8" s="629"/>
      <c r="F8" s="629"/>
      <c r="G8" s="629"/>
      <c r="H8" s="629"/>
      <c r="I8" s="629"/>
    </row>
    <row r="9" spans="5:9" s="50" customFormat="1" ht="18.75" customHeight="1" thickBot="1">
      <c r="E9" s="216"/>
      <c r="I9" s="151" t="s">
        <v>4</v>
      </c>
    </row>
    <row r="10" spans="2:9" s="2" customFormat="1" ht="30.75" customHeight="1">
      <c r="B10" s="630"/>
      <c r="C10" s="634" t="s">
        <v>0</v>
      </c>
      <c r="D10" s="661" t="s">
        <v>122</v>
      </c>
      <c r="E10" s="641" t="s">
        <v>1399</v>
      </c>
      <c r="F10" s="636" t="s">
        <v>1400</v>
      </c>
      <c r="G10" s="657" t="s">
        <v>1476</v>
      </c>
      <c r="H10" s="658"/>
      <c r="I10" s="659" t="s">
        <v>1482</v>
      </c>
    </row>
    <row r="11" spans="2:9" s="2" customFormat="1" ht="39.75" customHeight="1">
      <c r="B11" s="656"/>
      <c r="C11" s="635"/>
      <c r="D11" s="662"/>
      <c r="E11" s="642"/>
      <c r="F11" s="637"/>
      <c r="G11" s="20" t="s">
        <v>1</v>
      </c>
      <c r="H11" s="41" t="s">
        <v>58</v>
      </c>
      <c r="I11" s="660"/>
    </row>
    <row r="12" spans="2:9" s="64" customFormat="1" ht="33.75" customHeight="1">
      <c r="B12" s="75">
        <v>1</v>
      </c>
      <c r="C12" s="131" t="s">
        <v>90</v>
      </c>
      <c r="D12" s="132"/>
      <c r="E12" s="203"/>
      <c r="F12" s="203"/>
      <c r="G12" s="203"/>
      <c r="H12" s="203"/>
      <c r="I12" s="76"/>
    </row>
    <row r="13" spans="2:9" s="64" customFormat="1" ht="18.75">
      <c r="B13" s="75">
        <v>2</v>
      </c>
      <c r="C13" s="207" t="s">
        <v>583</v>
      </c>
      <c r="D13" s="208">
        <v>3001</v>
      </c>
      <c r="E13" s="209">
        <f>E14+E15+E16</f>
        <v>681773</v>
      </c>
      <c r="F13" s="209">
        <f>F14+F15+F16</f>
        <v>870269</v>
      </c>
      <c r="G13" s="209">
        <f>G14+G15+G16</f>
        <v>386237</v>
      </c>
      <c r="H13" s="209">
        <f>H14+H15+H16</f>
        <v>91412</v>
      </c>
      <c r="I13" s="210">
        <f>H13/G13*100</f>
        <v>23.667333787286044</v>
      </c>
    </row>
    <row r="14" spans="2:9" s="64" customFormat="1" ht="30" customHeight="1">
      <c r="B14" s="75">
        <v>3</v>
      </c>
      <c r="C14" s="133" t="s">
        <v>91</v>
      </c>
      <c r="D14" s="132">
        <v>3002</v>
      </c>
      <c r="E14" s="165">
        <f>663010+10726</f>
        <v>673736</v>
      </c>
      <c r="F14" s="165">
        <v>817419</v>
      </c>
      <c r="G14" s="165">
        <v>339087</v>
      </c>
      <c r="H14" s="165">
        <v>90356</v>
      </c>
      <c r="I14" s="210">
        <f>H14/G14*100</f>
        <v>26.646848743832702</v>
      </c>
    </row>
    <row r="15" spans="2:9" s="64" customFormat="1" ht="30" customHeight="1">
      <c r="B15" s="75">
        <v>4</v>
      </c>
      <c r="C15" s="133" t="s">
        <v>92</v>
      </c>
      <c r="D15" s="132">
        <v>3003</v>
      </c>
      <c r="E15" s="165">
        <v>97</v>
      </c>
      <c r="F15" s="165">
        <v>100</v>
      </c>
      <c r="G15" s="165">
        <v>50</v>
      </c>
      <c r="H15" s="165"/>
      <c r="I15" s="210"/>
    </row>
    <row r="16" spans="2:9" s="64" customFormat="1" ht="30" customHeight="1">
      <c r="B16" s="75">
        <v>5</v>
      </c>
      <c r="C16" s="133" t="s">
        <v>93</v>
      </c>
      <c r="D16" s="132">
        <v>3004</v>
      </c>
      <c r="E16" s="165">
        <v>7940</v>
      </c>
      <c r="F16" s="165">
        <v>52750</v>
      </c>
      <c r="G16" s="165">
        <v>47100</v>
      </c>
      <c r="H16" s="165">
        <v>1056</v>
      </c>
      <c r="I16" s="210">
        <f>H16/G16*100</f>
        <v>2.2420382165605095</v>
      </c>
    </row>
    <row r="17" spans="2:9" s="64" customFormat="1" ht="18.75">
      <c r="B17" s="75">
        <v>6</v>
      </c>
      <c r="C17" s="131" t="s">
        <v>584</v>
      </c>
      <c r="D17" s="208">
        <v>3005</v>
      </c>
      <c r="E17" s="209">
        <f>E18+E19+E20+E21+E22</f>
        <v>563068</v>
      </c>
      <c r="F17" s="209">
        <f>F18+F19+F20+F21+F22</f>
        <v>783682</v>
      </c>
      <c r="G17" s="209">
        <f>G18+G19+G20+G21+G22</f>
        <v>254076</v>
      </c>
      <c r="H17" s="209">
        <f>H18+H19+H20+H21+H22</f>
        <v>168727</v>
      </c>
      <c r="I17" s="210">
        <f>H17/G17*100</f>
        <v>66.40808262094806</v>
      </c>
    </row>
    <row r="18" spans="2:9" s="64" customFormat="1" ht="27" customHeight="1">
      <c r="B18" s="75">
        <v>7</v>
      </c>
      <c r="C18" s="133" t="s">
        <v>94</v>
      </c>
      <c r="D18" s="132">
        <v>3006</v>
      </c>
      <c r="E18" s="165">
        <v>303350</v>
      </c>
      <c r="F18" s="165">
        <v>520580</v>
      </c>
      <c r="G18" s="165">
        <v>124047</v>
      </c>
      <c r="H18" s="165">
        <f>55709+29916</f>
        <v>85625</v>
      </c>
      <c r="I18" s="210">
        <f>H18/G18*100</f>
        <v>69.02625617709417</v>
      </c>
    </row>
    <row r="19" spans="2:9" s="77" customFormat="1" ht="30" customHeight="1">
      <c r="B19" s="75">
        <v>8</v>
      </c>
      <c r="C19" s="133" t="s">
        <v>585</v>
      </c>
      <c r="D19" s="132">
        <v>3007</v>
      </c>
      <c r="E19" s="165">
        <v>216399</v>
      </c>
      <c r="F19" s="165">
        <v>220502</v>
      </c>
      <c r="G19" s="165">
        <v>114329</v>
      </c>
      <c r="H19" s="165">
        <v>77221</v>
      </c>
      <c r="I19" s="210">
        <f>H19/G19*100</f>
        <v>67.54279316708796</v>
      </c>
    </row>
    <row r="20" spans="2:9" s="77" customFormat="1" ht="30" customHeight="1">
      <c r="B20" s="75">
        <v>9</v>
      </c>
      <c r="C20" s="133" t="s">
        <v>95</v>
      </c>
      <c r="D20" s="132">
        <v>3008</v>
      </c>
      <c r="E20" s="165">
        <v>3945</v>
      </c>
      <c r="F20" s="165">
        <v>2600</v>
      </c>
      <c r="G20" s="165">
        <v>700</v>
      </c>
      <c r="H20" s="165">
        <v>690</v>
      </c>
      <c r="I20" s="210">
        <f>H20/G20*100</f>
        <v>98.57142857142858</v>
      </c>
    </row>
    <row r="21" spans="2:9" s="77" customFormat="1" ht="30" customHeight="1">
      <c r="B21" s="75">
        <v>10</v>
      </c>
      <c r="C21" s="133" t="s">
        <v>96</v>
      </c>
      <c r="D21" s="132">
        <v>3009</v>
      </c>
      <c r="E21" s="165"/>
      <c r="F21" s="165"/>
      <c r="G21" s="165"/>
      <c r="H21" s="165"/>
      <c r="I21" s="210"/>
    </row>
    <row r="22" spans="2:9" s="77" customFormat="1" ht="30" customHeight="1">
      <c r="B22" s="75">
        <v>11</v>
      </c>
      <c r="C22" s="133" t="s">
        <v>586</v>
      </c>
      <c r="D22" s="132">
        <v>3010</v>
      </c>
      <c r="E22" s="165">
        <v>39374</v>
      </c>
      <c r="F22" s="165">
        <v>40000</v>
      </c>
      <c r="G22" s="165">
        <v>15000</v>
      </c>
      <c r="H22" s="165">
        <v>5191</v>
      </c>
      <c r="I22" s="210">
        <f>H22/G22*100</f>
        <v>34.60666666666667</v>
      </c>
    </row>
    <row r="23" spans="2:9" s="77" customFormat="1" ht="18.75">
      <c r="B23" s="75">
        <v>12</v>
      </c>
      <c r="C23" s="131" t="s">
        <v>587</v>
      </c>
      <c r="D23" s="208">
        <v>3011</v>
      </c>
      <c r="E23" s="209">
        <f>E13-E17</f>
        <v>118705</v>
      </c>
      <c r="F23" s="209">
        <f>F13-F17</f>
        <v>86587</v>
      </c>
      <c r="G23" s="209">
        <f>G13-G17</f>
        <v>132161</v>
      </c>
      <c r="H23" s="209"/>
      <c r="I23" s="210"/>
    </row>
    <row r="24" spans="2:9" s="77" customFormat="1" ht="18.75">
      <c r="B24" s="220">
        <v>13</v>
      </c>
      <c r="C24" s="207" t="s">
        <v>588</v>
      </c>
      <c r="D24" s="208">
        <v>3012</v>
      </c>
      <c r="E24" s="209"/>
      <c r="F24" s="209"/>
      <c r="G24" s="209"/>
      <c r="H24" s="209">
        <f>H17-H13</f>
        <v>77315</v>
      </c>
      <c r="I24" s="210"/>
    </row>
    <row r="25" spans="2:9" s="77" customFormat="1" ht="18.75">
      <c r="B25" s="75">
        <v>14</v>
      </c>
      <c r="C25" s="131" t="s">
        <v>97</v>
      </c>
      <c r="D25" s="132"/>
      <c r="E25" s="165"/>
      <c r="F25" s="165"/>
      <c r="G25" s="165"/>
      <c r="H25" s="165"/>
      <c r="I25" s="210"/>
    </row>
    <row r="26" spans="2:9" s="77" customFormat="1" ht="18.75">
      <c r="B26" s="75">
        <v>15</v>
      </c>
      <c r="C26" s="131" t="s">
        <v>589</v>
      </c>
      <c r="D26" s="208">
        <v>3013</v>
      </c>
      <c r="E26" s="209"/>
      <c r="F26" s="209">
        <f>F27+F28+F29+F30+F31</f>
        <v>0</v>
      </c>
      <c r="G26" s="209">
        <v>0</v>
      </c>
      <c r="H26" s="209">
        <f>H27+H28+H29+H30+H31</f>
        <v>0</v>
      </c>
      <c r="I26" s="210"/>
    </row>
    <row r="27" spans="2:9" s="77" customFormat="1" ht="30" customHeight="1">
      <c r="B27" s="75">
        <v>16</v>
      </c>
      <c r="C27" s="133" t="s">
        <v>98</v>
      </c>
      <c r="D27" s="132">
        <v>3014</v>
      </c>
      <c r="E27" s="165"/>
      <c r="F27" s="165"/>
      <c r="G27" s="165"/>
      <c r="H27" s="165"/>
      <c r="I27" s="210"/>
    </row>
    <row r="28" spans="2:9" s="77" customFormat="1" ht="36" customHeight="1">
      <c r="B28" s="75">
        <v>17</v>
      </c>
      <c r="C28" s="133" t="s">
        <v>590</v>
      </c>
      <c r="D28" s="132">
        <v>3015</v>
      </c>
      <c r="E28" s="165"/>
      <c r="F28" s="165"/>
      <c r="G28" s="165"/>
      <c r="H28" s="165"/>
      <c r="I28" s="210"/>
    </row>
    <row r="29" spans="2:9" s="77" customFormat="1" ht="30" customHeight="1">
      <c r="B29" s="75">
        <v>18</v>
      </c>
      <c r="C29" s="133" t="s">
        <v>99</v>
      </c>
      <c r="D29" s="132">
        <v>3016</v>
      </c>
      <c r="E29" s="165"/>
      <c r="F29" s="165">
        <v>0</v>
      </c>
      <c r="G29" s="165">
        <v>0</v>
      </c>
      <c r="H29" s="165"/>
      <c r="I29" s="210"/>
    </row>
    <row r="30" spans="2:9" s="77" customFormat="1" ht="33.75" customHeight="1">
      <c r="B30" s="75">
        <v>19</v>
      </c>
      <c r="C30" s="133" t="s">
        <v>100</v>
      </c>
      <c r="D30" s="132">
        <v>3017</v>
      </c>
      <c r="E30" s="165"/>
      <c r="F30" s="165"/>
      <c r="G30" s="165"/>
      <c r="H30" s="165"/>
      <c r="I30" s="210"/>
    </row>
    <row r="31" spans="2:9" s="77" customFormat="1" ht="33.75" customHeight="1">
      <c r="B31" s="75">
        <v>20</v>
      </c>
      <c r="C31" s="133" t="s">
        <v>101</v>
      </c>
      <c r="D31" s="132">
        <v>3018</v>
      </c>
      <c r="E31" s="165"/>
      <c r="F31" s="165"/>
      <c r="G31" s="165"/>
      <c r="H31" s="165"/>
      <c r="I31" s="210"/>
    </row>
    <row r="32" spans="2:9" s="77" customFormat="1" ht="18.75">
      <c r="B32" s="75">
        <v>21</v>
      </c>
      <c r="C32" s="207" t="s">
        <v>591</v>
      </c>
      <c r="D32" s="208">
        <v>3019</v>
      </c>
      <c r="E32" s="209">
        <f>E33+E34+E35</f>
        <v>896</v>
      </c>
      <c r="F32" s="209">
        <f>F33+F34+F35</f>
        <v>65040</v>
      </c>
      <c r="G32" s="209">
        <f>G33+G34+G35</f>
        <v>64790</v>
      </c>
      <c r="H32" s="209">
        <f>H33+H34+H35</f>
        <v>1166</v>
      </c>
      <c r="I32" s="210">
        <f>H32/G32*100</f>
        <v>1.7996604414261461</v>
      </c>
    </row>
    <row r="33" spans="2:9" s="77" customFormat="1" ht="30" customHeight="1">
      <c r="B33" s="75">
        <v>22</v>
      </c>
      <c r="C33" s="133" t="s">
        <v>102</v>
      </c>
      <c r="D33" s="132">
        <v>3020</v>
      </c>
      <c r="E33" s="165"/>
      <c r="F33" s="165"/>
      <c r="G33" s="165"/>
      <c r="H33" s="165"/>
      <c r="I33" s="210"/>
    </row>
    <row r="34" spans="2:9" s="77" customFormat="1" ht="33.75" customHeight="1">
      <c r="B34" s="75">
        <v>23</v>
      </c>
      <c r="C34" s="133" t="s">
        <v>592</v>
      </c>
      <c r="D34" s="132">
        <v>3021</v>
      </c>
      <c r="E34" s="165">
        <v>896</v>
      </c>
      <c r="F34" s="165">
        <v>65040</v>
      </c>
      <c r="G34" s="165">
        <v>64790</v>
      </c>
      <c r="H34" s="165">
        <v>1166</v>
      </c>
      <c r="I34" s="210">
        <f>H34/G34*100</f>
        <v>1.7996604414261461</v>
      </c>
    </row>
    <row r="35" spans="2:9" s="77" customFormat="1" ht="30" customHeight="1">
      <c r="B35" s="75">
        <v>24</v>
      </c>
      <c r="C35" s="133" t="s">
        <v>103</v>
      </c>
      <c r="D35" s="132">
        <v>3022</v>
      </c>
      <c r="E35" s="165"/>
      <c r="F35" s="165"/>
      <c r="G35" s="165"/>
      <c r="H35" s="165"/>
      <c r="I35" s="210"/>
    </row>
    <row r="36" spans="2:9" s="77" customFormat="1" ht="18.75">
      <c r="B36" s="75">
        <v>25</v>
      </c>
      <c r="C36" s="131" t="s">
        <v>593</v>
      </c>
      <c r="D36" s="132">
        <v>3023</v>
      </c>
      <c r="E36" s="165"/>
      <c r="F36" s="165"/>
      <c r="G36" s="165"/>
      <c r="H36" s="165"/>
      <c r="I36" s="210"/>
    </row>
    <row r="37" spans="2:9" s="77" customFormat="1" ht="18.75">
      <c r="B37" s="75">
        <v>26</v>
      </c>
      <c r="C37" s="207" t="s">
        <v>594</v>
      </c>
      <c r="D37" s="208">
        <v>3024</v>
      </c>
      <c r="E37" s="209">
        <f>E32-E26</f>
        <v>896</v>
      </c>
      <c r="F37" s="209">
        <f>F32-F26</f>
        <v>65040</v>
      </c>
      <c r="G37" s="209">
        <f>G32-G26</f>
        <v>64790</v>
      </c>
      <c r="H37" s="209">
        <f>H32-H26</f>
        <v>1166</v>
      </c>
      <c r="I37" s="219">
        <f>H37/G37*100</f>
        <v>1.7996604414261461</v>
      </c>
    </row>
    <row r="38" spans="2:9" s="77" customFormat="1" ht="18.75">
      <c r="B38" s="75">
        <v>27</v>
      </c>
      <c r="C38" s="131" t="s">
        <v>104</v>
      </c>
      <c r="D38" s="132"/>
      <c r="E38" s="165"/>
      <c r="F38" s="165"/>
      <c r="G38" s="165"/>
      <c r="H38" s="165"/>
      <c r="I38" s="210"/>
    </row>
    <row r="39" spans="2:9" s="77" customFormat="1" ht="18.75">
      <c r="B39" s="75">
        <v>28</v>
      </c>
      <c r="C39" s="131" t="s">
        <v>595</v>
      </c>
      <c r="D39" s="132">
        <v>3025</v>
      </c>
      <c r="E39" s="165"/>
      <c r="F39" s="165"/>
      <c r="G39" s="165"/>
      <c r="H39" s="165">
        <f>H40+H41+H42+H43+H44</f>
        <v>0</v>
      </c>
      <c r="I39" s="210"/>
    </row>
    <row r="40" spans="2:9" s="77" customFormat="1" ht="30" customHeight="1">
      <c r="B40" s="75">
        <v>29</v>
      </c>
      <c r="C40" s="133" t="s">
        <v>105</v>
      </c>
      <c r="D40" s="132">
        <v>3026</v>
      </c>
      <c r="E40" s="165"/>
      <c r="F40" s="165"/>
      <c r="G40" s="165"/>
      <c r="H40" s="165"/>
      <c r="I40" s="210"/>
    </row>
    <row r="41" spans="2:9" s="77" customFormat="1" ht="30" customHeight="1">
      <c r="B41" s="75">
        <v>30</v>
      </c>
      <c r="C41" s="133" t="s">
        <v>596</v>
      </c>
      <c r="D41" s="132">
        <v>3027</v>
      </c>
      <c r="E41" s="165"/>
      <c r="F41" s="165"/>
      <c r="G41" s="165"/>
      <c r="H41" s="165"/>
      <c r="I41" s="210"/>
    </row>
    <row r="42" spans="2:9" s="77" customFormat="1" ht="30" customHeight="1">
      <c r="B42" s="75">
        <v>31</v>
      </c>
      <c r="C42" s="133" t="s">
        <v>597</v>
      </c>
      <c r="D42" s="132">
        <v>3028</v>
      </c>
      <c r="E42" s="165"/>
      <c r="F42" s="165"/>
      <c r="G42" s="165"/>
      <c r="H42" s="165"/>
      <c r="I42" s="210"/>
    </row>
    <row r="43" spans="2:9" s="77" customFormat="1" ht="33" customHeight="1">
      <c r="B43" s="75">
        <v>32</v>
      </c>
      <c r="C43" s="133" t="s">
        <v>598</v>
      </c>
      <c r="D43" s="132">
        <v>3029</v>
      </c>
      <c r="E43" s="165"/>
      <c r="F43" s="165"/>
      <c r="G43" s="165"/>
      <c r="H43" s="165"/>
      <c r="I43" s="210"/>
    </row>
    <row r="44" spans="2:9" s="77" customFormat="1" ht="33" customHeight="1">
      <c r="B44" s="75">
        <v>33</v>
      </c>
      <c r="C44" s="133" t="s">
        <v>599</v>
      </c>
      <c r="D44" s="132">
        <v>3030</v>
      </c>
      <c r="E44" s="165"/>
      <c r="F44" s="165"/>
      <c r="G44" s="165"/>
      <c r="H44" s="165"/>
      <c r="I44" s="210"/>
    </row>
    <row r="45" spans="2:9" s="77" customFormat="1" ht="18.75">
      <c r="B45" s="75">
        <v>34</v>
      </c>
      <c r="C45" s="131" t="s">
        <v>600</v>
      </c>
      <c r="D45" s="132">
        <v>3031</v>
      </c>
      <c r="E45" s="165">
        <f>E46+E47+E48+E49+E50+E51</f>
        <v>31876</v>
      </c>
      <c r="F45" s="165">
        <f>F46+F47+F48+F49+F50+F51</f>
        <v>22245</v>
      </c>
      <c r="G45" s="165">
        <f>G46+G47+G48+G49+G50+G51</f>
        <v>16649</v>
      </c>
      <c r="H45" s="165">
        <f>H46+H47+H48+H49+H50+H51</f>
        <v>17036</v>
      </c>
      <c r="I45" s="210">
        <f>H45/G45*100</f>
        <v>102.32446393176768</v>
      </c>
    </row>
    <row r="46" spans="2:9" s="77" customFormat="1" ht="30" customHeight="1">
      <c r="B46" s="75">
        <v>35</v>
      </c>
      <c r="C46" s="133" t="s">
        <v>106</v>
      </c>
      <c r="D46" s="132">
        <v>3032</v>
      </c>
      <c r="E46" s="165"/>
      <c r="F46" s="165"/>
      <c r="G46" s="165"/>
      <c r="H46" s="165"/>
      <c r="I46" s="210"/>
    </row>
    <row r="47" spans="2:9" s="77" customFormat="1" ht="30" customHeight="1">
      <c r="B47" s="75">
        <v>36</v>
      </c>
      <c r="C47" s="133" t="s">
        <v>601</v>
      </c>
      <c r="D47" s="132">
        <v>3033</v>
      </c>
      <c r="E47" s="165">
        <v>31876</v>
      </c>
      <c r="F47" s="165">
        <v>22245</v>
      </c>
      <c r="G47" s="165">
        <v>16649</v>
      </c>
      <c r="H47" s="165">
        <v>17036</v>
      </c>
      <c r="I47" s="210">
        <f>H47/G47*100</f>
        <v>102.32446393176768</v>
      </c>
    </row>
    <row r="48" spans="2:9" s="77" customFormat="1" ht="18.75">
      <c r="B48" s="75">
        <v>37</v>
      </c>
      <c r="C48" s="133" t="s">
        <v>602</v>
      </c>
      <c r="D48" s="132">
        <v>3034</v>
      </c>
      <c r="E48" s="165"/>
      <c r="F48" s="165"/>
      <c r="G48" s="165"/>
      <c r="H48" s="165"/>
      <c r="I48" s="210"/>
    </row>
    <row r="49" spans="2:9" s="77" customFormat="1" ht="18.75">
      <c r="B49" s="75">
        <v>38</v>
      </c>
      <c r="C49" s="133" t="s">
        <v>603</v>
      </c>
      <c r="D49" s="132">
        <v>3035</v>
      </c>
      <c r="E49" s="165"/>
      <c r="F49" s="165"/>
      <c r="G49" s="165"/>
      <c r="H49" s="165"/>
      <c r="I49" s="210"/>
    </row>
    <row r="50" spans="2:9" s="77" customFormat="1" ht="30" customHeight="1">
      <c r="B50" s="75">
        <v>39</v>
      </c>
      <c r="C50" s="133" t="s">
        <v>604</v>
      </c>
      <c r="D50" s="132">
        <v>3036</v>
      </c>
      <c r="E50" s="165"/>
      <c r="F50" s="165"/>
      <c r="G50" s="165"/>
      <c r="H50" s="165"/>
      <c r="I50" s="210"/>
    </row>
    <row r="51" spans="2:9" s="77" customFormat="1" ht="30" customHeight="1">
      <c r="B51" s="75">
        <v>40</v>
      </c>
      <c r="C51" s="133" t="s">
        <v>605</v>
      </c>
      <c r="D51" s="132">
        <v>3037</v>
      </c>
      <c r="E51" s="165"/>
      <c r="F51" s="165"/>
      <c r="G51" s="165"/>
      <c r="H51" s="165"/>
      <c r="I51" s="210"/>
    </row>
    <row r="52" spans="2:9" s="77" customFormat="1" ht="30" customHeight="1">
      <c r="B52" s="75">
        <v>41</v>
      </c>
      <c r="C52" s="131" t="s">
        <v>606</v>
      </c>
      <c r="D52" s="132">
        <v>3038</v>
      </c>
      <c r="E52" s="165"/>
      <c r="F52" s="165"/>
      <c r="G52" s="165"/>
      <c r="H52" s="165"/>
      <c r="I52" s="210"/>
    </row>
    <row r="53" spans="2:9" s="77" customFormat="1" ht="30" customHeight="1">
      <c r="B53" s="75">
        <v>42</v>
      </c>
      <c r="C53" s="131" t="s">
        <v>607</v>
      </c>
      <c r="D53" s="132">
        <v>3039</v>
      </c>
      <c r="E53" s="165">
        <f>E45-E39</f>
        <v>31876</v>
      </c>
      <c r="F53" s="165">
        <f>F45-F39</f>
        <v>22245</v>
      </c>
      <c r="G53" s="620">
        <f>G45-G39</f>
        <v>16649</v>
      </c>
      <c r="H53" s="620">
        <f>H45-H39</f>
        <v>17036</v>
      </c>
      <c r="I53" s="210">
        <f>H53/G53*100</f>
        <v>102.32446393176768</v>
      </c>
    </row>
    <row r="54" spans="2:9" s="77" customFormat="1" ht="30" customHeight="1">
      <c r="B54" s="75">
        <v>43</v>
      </c>
      <c r="C54" s="131" t="s">
        <v>610</v>
      </c>
      <c r="D54" s="132">
        <v>3040</v>
      </c>
      <c r="E54" s="165">
        <f>E13+E26+E39</f>
        <v>681773</v>
      </c>
      <c r="F54" s="165">
        <f>F13+F26+F39</f>
        <v>870269</v>
      </c>
      <c r="G54" s="165">
        <f>G13+G26+G39</f>
        <v>386237</v>
      </c>
      <c r="H54" s="165">
        <f>H13+H26+H39</f>
        <v>91412</v>
      </c>
      <c r="I54" s="210">
        <f>H54/G54*100</f>
        <v>23.667333787286044</v>
      </c>
    </row>
    <row r="55" spans="2:9" s="77" customFormat="1" ht="18.75">
      <c r="B55" s="75">
        <v>44</v>
      </c>
      <c r="C55" s="131" t="s">
        <v>611</v>
      </c>
      <c r="D55" s="132">
        <v>3041</v>
      </c>
      <c r="E55" s="165">
        <f>E17+E32+E45</f>
        <v>595840</v>
      </c>
      <c r="F55" s="165">
        <f>F17+F32+F45</f>
        <v>870967</v>
      </c>
      <c r="G55" s="165">
        <f>G17+G32+G45</f>
        <v>335515</v>
      </c>
      <c r="H55" s="165">
        <f>H17+H32+H45</f>
        <v>186929</v>
      </c>
      <c r="I55" s="210">
        <f>H55/G55*100</f>
        <v>55.71405153271836</v>
      </c>
    </row>
    <row r="56" spans="2:9" s="77" customFormat="1" ht="18.75">
      <c r="B56" s="75">
        <v>45</v>
      </c>
      <c r="C56" s="131" t="s">
        <v>612</v>
      </c>
      <c r="D56" s="132">
        <v>3042</v>
      </c>
      <c r="E56" s="165">
        <f>E54-E55</f>
        <v>85933</v>
      </c>
      <c r="F56" s="165"/>
      <c r="G56" s="165">
        <f>G54-G55</f>
        <v>50722</v>
      </c>
      <c r="H56" s="165"/>
      <c r="I56" s="210"/>
    </row>
    <row r="57" spans="2:9" s="77" customFormat="1" ht="19.5" thickBot="1">
      <c r="B57" s="78">
        <v>46</v>
      </c>
      <c r="C57" s="131" t="s">
        <v>613</v>
      </c>
      <c r="D57" s="132">
        <v>3043</v>
      </c>
      <c r="E57" s="165"/>
      <c r="F57" s="165">
        <f>F55-F54</f>
        <v>698</v>
      </c>
      <c r="G57" s="165"/>
      <c r="H57" s="165">
        <f>H55-H54</f>
        <v>95517</v>
      </c>
      <c r="I57" s="210"/>
    </row>
    <row r="58" spans="2:9" s="77" customFormat="1" ht="30" customHeight="1">
      <c r="B58" s="75">
        <v>47</v>
      </c>
      <c r="C58" s="131" t="s">
        <v>608</v>
      </c>
      <c r="D58" s="132">
        <v>3044</v>
      </c>
      <c r="E58" s="165">
        <v>44229</v>
      </c>
      <c r="F58" s="165">
        <v>49517</v>
      </c>
      <c r="G58" s="165">
        <v>49517</v>
      </c>
      <c r="H58" s="165">
        <v>130162</v>
      </c>
      <c r="I58" s="210">
        <f>H58/G58*100</f>
        <v>262.86325908273926</v>
      </c>
    </row>
    <row r="59" spans="2:9" s="77" customFormat="1" ht="30" customHeight="1">
      <c r="B59" s="75">
        <v>48</v>
      </c>
      <c r="C59" s="131" t="s">
        <v>609</v>
      </c>
      <c r="D59" s="132">
        <v>3045</v>
      </c>
      <c r="E59" s="165"/>
      <c r="F59" s="165"/>
      <c r="G59" s="165"/>
      <c r="H59" s="165"/>
      <c r="I59" s="210"/>
    </row>
    <row r="60" spans="2:9" ht="31.5">
      <c r="B60" s="75">
        <v>49</v>
      </c>
      <c r="C60" s="131" t="s">
        <v>182</v>
      </c>
      <c r="D60" s="132">
        <v>3046</v>
      </c>
      <c r="E60" s="204"/>
      <c r="F60" s="204"/>
      <c r="G60" s="204"/>
      <c r="H60" s="204"/>
      <c r="I60" s="210"/>
    </row>
    <row r="61" spans="2:9" ht="32.25" thickBot="1">
      <c r="B61" s="78">
        <v>50</v>
      </c>
      <c r="C61" s="205" t="s">
        <v>876</v>
      </c>
      <c r="D61" s="206">
        <v>3047</v>
      </c>
      <c r="E61" s="183">
        <f>E56-E57+E58+E59-E60</f>
        <v>130162</v>
      </c>
      <c r="F61" s="183">
        <f>F56-F57+F58+F59-F60</f>
        <v>48819</v>
      </c>
      <c r="G61" s="183">
        <f>G56-G57+G58+G59-G60</f>
        <v>100239</v>
      </c>
      <c r="H61" s="183">
        <f>H56-H57+H58+H59-H60</f>
        <v>34645</v>
      </c>
      <c r="I61" s="210">
        <f>H61/G61*100</f>
        <v>34.562395873861476</v>
      </c>
    </row>
    <row r="64" spans="2:8" ht="18.75">
      <c r="B64" s="211" t="s">
        <v>877</v>
      </c>
      <c r="C64" s="152" t="s">
        <v>1497</v>
      </c>
      <c r="D64" s="151" t="s">
        <v>64</v>
      </c>
      <c r="E64" s="217" t="s">
        <v>878</v>
      </c>
      <c r="F64" s="212"/>
      <c r="G64" s="213"/>
      <c r="H64" s="68"/>
    </row>
    <row r="65" spans="5:8" ht="15.75">
      <c r="E65" s="218"/>
      <c r="F65" s="192"/>
      <c r="G65" s="192"/>
      <c r="H65" s="48"/>
    </row>
    <row r="66" spans="5:8" ht="15.75">
      <c r="E66" s="218"/>
      <c r="F66" s="628" t="s">
        <v>879</v>
      </c>
      <c r="G66" s="628"/>
      <c r="H66" s="48"/>
    </row>
    <row r="70" ht="12.75">
      <c r="H70" s="134"/>
    </row>
  </sheetData>
  <sheetProtection/>
  <mergeCells count="10">
    <mergeCell ref="F66:G66"/>
    <mergeCell ref="B6:I6"/>
    <mergeCell ref="B8:I8"/>
    <mergeCell ref="B10:B11"/>
    <mergeCell ref="C10:C11"/>
    <mergeCell ref="E10:E11"/>
    <mergeCell ref="F10:F11"/>
    <mergeCell ref="G10:H10"/>
    <mergeCell ref="I10:I11"/>
    <mergeCell ref="D10:D11"/>
  </mergeCells>
  <printOptions/>
  <pageMargins left="0.35433070866141736" right="0.35433070866141736" top="0.3937007874015748" bottom="0.3937007874015748" header="0.5118110236220472" footer="0.5118110236220472"/>
  <pageSetup fitToHeight="0" fitToWidth="1" horizontalDpi="600" verticalDpi="600" orientation="portrait" scale="46"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4:X105"/>
  <sheetViews>
    <sheetView view="pageBreakPreview" zoomScale="70" zoomScaleNormal="75" zoomScaleSheetLayoutView="70" zoomScalePageLayoutView="0" workbookViewId="0" topLeftCell="A37">
      <selection activeCell="B4" sqref="B4:H55"/>
    </sheetView>
  </sheetViews>
  <sheetFormatPr defaultColWidth="9.140625" defaultRowHeight="12.75"/>
  <cols>
    <col min="1" max="1" width="9.140625" style="2" customWidth="1"/>
    <col min="2" max="2" width="6.140625" style="2" customWidth="1"/>
    <col min="3" max="3" width="81.28125" style="2" customWidth="1"/>
    <col min="4" max="4" width="20.7109375" style="153" customWidth="1"/>
    <col min="5" max="7" width="20.7109375" style="42" customWidth="1"/>
    <col min="8" max="8" width="21.28125" style="4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4" ht="15.75">
      <c r="H4" s="24" t="s">
        <v>10</v>
      </c>
    </row>
    <row r="5" spans="2:8" ht="15.75">
      <c r="B5" s="13" t="s">
        <v>869</v>
      </c>
      <c r="C5" s="22"/>
      <c r="D5" s="154"/>
      <c r="E5" s="134"/>
      <c r="F5" s="134"/>
      <c r="G5" s="134"/>
      <c r="H5" s="134"/>
    </row>
    <row r="6" spans="2:8" ht="15.75">
      <c r="B6" s="13" t="s">
        <v>862</v>
      </c>
      <c r="C6" s="22"/>
      <c r="D6" s="154"/>
      <c r="E6" s="134"/>
      <c r="F6" s="134"/>
      <c r="G6" s="134"/>
      <c r="H6" s="134"/>
    </row>
    <row r="8" spans="2:9" ht="18.75">
      <c r="B8" s="629" t="s">
        <v>46</v>
      </c>
      <c r="C8" s="629"/>
      <c r="D8" s="629"/>
      <c r="E8" s="629"/>
      <c r="F8" s="629"/>
      <c r="G8" s="629"/>
      <c r="H8" s="629"/>
      <c r="I8" s="1"/>
    </row>
    <row r="9" spans="3:9" ht="15.75">
      <c r="C9" s="1"/>
      <c r="D9" s="155"/>
      <c r="E9" s="11"/>
      <c r="F9" s="11"/>
      <c r="G9" s="11"/>
      <c r="H9" s="42" t="s">
        <v>4</v>
      </c>
      <c r="I9" s="1"/>
    </row>
    <row r="10" spans="2:24" ht="25.5" customHeight="1">
      <c r="B10" s="666" t="s">
        <v>7</v>
      </c>
      <c r="C10" s="666" t="s">
        <v>14</v>
      </c>
      <c r="D10" s="669" t="s">
        <v>1399</v>
      </c>
      <c r="E10" s="669" t="s">
        <v>1400</v>
      </c>
      <c r="F10" s="670" t="s">
        <v>1476</v>
      </c>
      <c r="G10" s="671"/>
      <c r="H10" s="667" t="s">
        <v>1483</v>
      </c>
      <c r="I10" s="664"/>
      <c r="J10" s="665"/>
      <c r="K10" s="664"/>
      <c r="L10" s="665"/>
      <c r="M10" s="664"/>
      <c r="N10" s="665"/>
      <c r="O10" s="664"/>
      <c r="P10" s="665"/>
      <c r="Q10" s="664"/>
      <c r="R10" s="665"/>
      <c r="S10" s="665"/>
      <c r="T10" s="665"/>
      <c r="U10" s="6"/>
      <c r="V10" s="6"/>
      <c r="W10" s="6"/>
      <c r="X10" s="6"/>
    </row>
    <row r="11" spans="2:24" ht="36.75" customHeight="1">
      <c r="B11" s="666"/>
      <c r="C11" s="666"/>
      <c r="D11" s="637"/>
      <c r="E11" s="637"/>
      <c r="F11" s="3" t="s">
        <v>1</v>
      </c>
      <c r="G11" s="3" t="s">
        <v>58</v>
      </c>
      <c r="H11" s="668"/>
      <c r="I11" s="664"/>
      <c r="J11" s="664"/>
      <c r="K11" s="664"/>
      <c r="L11" s="664"/>
      <c r="M11" s="664"/>
      <c r="N11" s="664"/>
      <c r="O11" s="664"/>
      <c r="P11" s="665"/>
      <c r="Q11" s="664"/>
      <c r="R11" s="665"/>
      <c r="S11" s="665"/>
      <c r="T11" s="665"/>
      <c r="U11" s="6"/>
      <c r="V11" s="6"/>
      <c r="W11" s="6"/>
      <c r="X11" s="6"/>
    </row>
    <row r="12" spans="2:24" s="64" customFormat="1" ht="35.25" customHeight="1">
      <c r="B12" s="79" t="s">
        <v>68</v>
      </c>
      <c r="C12" s="80" t="s">
        <v>119</v>
      </c>
      <c r="D12" s="156">
        <v>108790728</v>
      </c>
      <c r="E12" s="156">
        <v>116990000</v>
      </c>
      <c r="F12" s="156">
        <v>59580000</v>
      </c>
      <c r="G12" s="156">
        <v>48509815.49</v>
      </c>
      <c r="H12" s="156">
        <f>G12/F12*100</f>
        <v>81.4196298925814</v>
      </c>
      <c r="I12" s="66"/>
      <c r="J12" s="66"/>
      <c r="K12" s="66"/>
      <c r="L12" s="66"/>
      <c r="M12" s="66"/>
      <c r="N12" s="66"/>
      <c r="O12" s="66"/>
      <c r="P12" s="66"/>
      <c r="Q12" s="66"/>
      <c r="R12" s="66"/>
      <c r="S12" s="66"/>
      <c r="T12" s="66"/>
      <c r="U12" s="66"/>
      <c r="V12" s="66"/>
      <c r="W12" s="66"/>
      <c r="X12" s="66"/>
    </row>
    <row r="13" spans="2:24" s="64" customFormat="1" ht="36.75" customHeight="1">
      <c r="B13" s="79" t="s">
        <v>69</v>
      </c>
      <c r="C13" s="80" t="s">
        <v>183</v>
      </c>
      <c r="D13" s="156">
        <v>152155078</v>
      </c>
      <c r="E13" s="156">
        <v>166890000</v>
      </c>
      <c r="F13" s="156">
        <v>84993000</v>
      </c>
      <c r="G13" s="156">
        <v>67782298.31</v>
      </c>
      <c r="H13" s="156">
        <f>G13/F13*100</f>
        <v>79.75044804866283</v>
      </c>
      <c r="I13" s="66"/>
      <c r="J13" s="66"/>
      <c r="K13" s="66"/>
      <c r="L13" s="66"/>
      <c r="M13" s="66"/>
      <c r="N13" s="66"/>
      <c r="O13" s="66"/>
      <c r="P13" s="66"/>
      <c r="Q13" s="66"/>
      <c r="R13" s="66"/>
      <c r="S13" s="66"/>
      <c r="T13" s="66"/>
      <c r="U13" s="66"/>
      <c r="V13" s="66"/>
      <c r="W13" s="66"/>
      <c r="X13" s="66"/>
    </row>
    <row r="14" spans="2:24" s="64" customFormat="1" ht="35.25" customHeight="1">
      <c r="B14" s="79" t="s">
        <v>70</v>
      </c>
      <c r="C14" s="80" t="s">
        <v>184</v>
      </c>
      <c r="D14" s="156">
        <v>179390838</v>
      </c>
      <c r="E14" s="156">
        <v>196763000</v>
      </c>
      <c r="F14" s="156">
        <v>100207000</v>
      </c>
      <c r="G14" s="156">
        <f>79915329.58+5223355.92</f>
        <v>85138685.5</v>
      </c>
      <c r="H14" s="156">
        <f>G14/F14*100</f>
        <v>84.96281247817019</v>
      </c>
      <c r="I14" s="66"/>
      <c r="J14" s="66"/>
      <c r="K14" s="66"/>
      <c r="L14" s="66"/>
      <c r="M14" s="66"/>
      <c r="N14" s="66"/>
      <c r="O14" s="66"/>
      <c r="P14" s="66"/>
      <c r="Q14" s="66"/>
      <c r="R14" s="66"/>
      <c r="S14" s="66"/>
      <c r="T14" s="66"/>
      <c r="U14" s="66"/>
      <c r="V14" s="66"/>
      <c r="W14" s="66"/>
      <c r="X14" s="66"/>
    </row>
    <row r="15" spans="2:24" s="64" customFormat="1" ht="36" customHeight="1">
      <c r="B15" s="79" t="s">
        <v>71</v>
      </c>
      <c r="C15" s="80" t="s">
        <v>191</v>
      </c>
      <c r="D15" s="156">
        <v>145</v>
      </c>
      <c r="E15" s="156">
        <v>134</v>
      </c>
      <c r="F15" s="156">
        <v>134</v>
      </c>
      <c r="G15" s="156">
        <v>130</v>
      </c>
      <c r="H15" s="156"/>
      <c r="I15" s="66"/>
      <c r="J15" s="66"/>
      <c r="K15" s="66"/>
      <c r="L15" s="66"/>
      <c r="M15" s="66"/>
      <c r="N15" s="66"/>
      <c r="O15" s="66"/>
      <c r="P15" s="66"/>
      <c r="Q15" s="66"/>
      <c r="R15" s="66"/>
      <c r="S15" s="66"/>
      <c r="T15" s="66"/>
      <c r="U15" s="66"/>
      <c r="V15" s="66"/>
      <c r="W15" s="66"/>
      <c r="X15" s="66"/>
    </row>
    <row r="16" spans="2:24" s="64" customFormat="1" ht="36" customHeight="1">
      <c r="B16" s="79" t="s">
        <v>188</v>
      </c>
      <c r="C16" s="81" t="s">
        <v>185</v>
      </c>
      <c r="D16" s="156">
        <v>145</v>
      </c>
      <c r="E16" s="156">
        <v>134</v>
      </c>
      <c r="F16" s="156">
        <v>134</v>
      </c>
      <c r="G16" s="156">
        <v>130</v>
      </c>
      <c r="H16" s="156"/>
      <c r="I16" s="66"/>
      <c r="J16" s="66"/>
      <c r="K16" s="66"/>
      <c r="L16" s="66"/>
      <c r="M16" s="66"/>
      <c r="N16" s="66"/>
      <c r="O16" s="66"/>
      <c r="P16" s="66"/>
      <c r="Q16" s="66"/>
      <c r="R16" s="66"/>
      <c r="S16" s="66"/>
      <c r="T16" s="66"/>
      <c r="U16" s="66"/>
      <c r="V16" s="66"/>
      <c r="W16" s="66"/>
      <c r="X16" s="66"/>
    </row>
    <row r="17" spans="2:24" s="64" customFormat="1" ht="36" customHeight="1">
      <c r="B17" s="79" t="s">
        <v>187</v>
      </c>
      <c r="C17" s="81" t="s">
        <v>186</v>
      </c>
      <c r="D17" s="156"/>
      <c r="E17" s="156"/>
      <c r="F17" s="156"/>
      <c r="G17" s="156"/>
      <c r="H17" s="156"/>
      <c r="I17" s="66"/>
      <c r="J17" s="66"/>
      <c r="K17" s="66"/>
      <c r="L17" s="66"/>
      <c r="M17" s="66"/>
      <c r="N17" s="66"/>
      <c r="O17" s="66"/>
      <c r="P17" s="66"/>
      <c r="Q17" s="66"/>
      <c r="R17" s="66"/>
      <c r="S17" s="66"/>
      <c r="T17" s="66"/>
      <c r="U17" s="66"/>
      <c r="V17" s="66"/>
      <c r="W17" s="66"/>
      <c r="X17" s="66"/>
    </row>
    <row r="18" spans="2:24" s="64" customFormat="1" ht="30" customHeight="1">
      <c r="B18" s="79" t="s">
        <v>159</v>
      </c>
      <c r="C18" s="82" t="s">
        <v>15</v>
      </c>
      <c r="D18" s="156"/>
      <c r="E18" s="156"/>
      <c r="F18" s="156"/>
      <c r="G18" s="156"/>
      <c r="H18" s="156"/>
      <c r="I18" s="66"/>
      <c r="J18" s="66"/>
      <c r="K18" s="66"/>
      <c r="L18" s="66"/>
      <c r="M18" s="66"/>
      <c r="N18" s="66"/>
      <c r="O18" s="66"/>
      <c r="P18" s="66"/>
      <c r="Q18" s="66"/>
      <c r="R18" s="66"/>
      <c r="S18" s="66"/>
      <c r="T18" s="66"/>
      <c r="U18" s="66"/>
      <c r="V18" s="66"/>
      <c r="W18" s="66"/>
      <c r="X18" s="66"/>
    </row>
    <row r="19" spans="2:24" s="64" customFormat="1" ht="30" customHeight="1">
      <c r="B19" s="79" t="s">
        <v>160</v>
      </c>
      <c r="C19" s="82" t="s">
        <v>108</v>
      </c>
      <c r="D19" s="157"/>
      <c r="E19" s="157"/>
      <c r="F19" s="156"/>
      <c r="G19" s="156"/>
      <c r="H19" s="156"/>
      <c r="I19" s="66"/>
      <c r="J19" s="66"/>
      <c r="K19" s="66"/>
      <c r="L19" s="66"/>
      <c r="M19" s="66"/>
      <c r="N19" s="66"/>
      <c r="O19" s="66"/>
      <c r="P19" s="66"/>
      <c r="Q19" s="66"/>
      <c r="R19" s="66"/>
      <c r="S19" s="66"/>
      <c r="T19" s="66"/>
      <c r="U19" s="66"/>
      <c r="V19" s="66"/>
      <c r="W19" s="66"/>
      <c r="X19" s="66"/>
    </row>
    <row r="20" spans="2:24" s="64" customFormat="1" ht="30" customHeight="1">
      <c r="B20" s="79" t="s">
        <v>161</v>
      </c>
      <c r="C20" s="82" t="s">
        <v>16</v>
      </c>
      <c r="D20" s="157"/>
      <c r="E20" s="157"/>
      <c r="F20" s="156"/>
      <c r="G20" s="156"/>
      <c r="H20" s="156"/>
      <c r="I20" s="66"/>
      <c r="J20" s="66"/>
      <c r="K20" s="66"/>
      <c r="L20" s="66"/>
      <c r="M20" s="66"/>
      <c r="N20" s="66"/>
      <c r="O20" s="66"/>
      <c r="P20" s="66"/>
      <c r="Q20" s="66"/>
      <c r="R20" s="66"/>
      <c r="S20" s="66"/>
      <c r="T20" s="66"/>
      <c r="U20" s="66"/>
      <c r="V20" s="66"/>
      <c r="W20" s="66"/>
      <c r="X20" s="66"/>
    </row>
    <row r="21" spans="2:24" s="64" customFormat="1" ht="30" customHeight="1">
      <c r="B21" s="79" t="s">
        <v>162</v>
      </c>
      <c r="C21" s="82" t="s">
        <v>109</v>
      </c>
      <c r="D21" s="157"/>
      <c r="E21" s="157"/>
      <c r="F21" s="156"/>
      <c r="G21" s="156"/>
      <c r="H21" s="156"/>
      <c r="I21" s="66"/>
      <c r="J21" s="66"/>
      <c r="K21" s="66"/>
      <c r="L21" s="66"/>
      <c r="M21" s="66"/>
      <c r="N21" s="66"/>
      <c r="O21" s="66"/>
      <c r="P21" s="66"/>
      <c r="Q21" s="66"/>
      <c r="R21" s="66"/>
      <c r="S21" s="66"/>
      <c r="T21" s="66"/>
      <c r="U21" s="66"/>
      <c r="V21" s="66"/>
      <c r="W21" s="66"/>
      <c r="X21" s="66"/>
    </row>
    <row r="22" spans="2:24" s="67" customFormat="1" ht="30" customHeight="1">
      <c r="B22" s="79" t="s">
        <v>163</v>
      </c>
      <c r="C22" s="83" t="s">
        <v>17</v>
      </c>
      <c r="D22" s="157">
        <v>2343304</v>
      </c>
      <c r="E22" s="157">
        <v>7300000</v>
      </c>
      <c r="F22" s="165">
        <v>3632000</v>
      </c>
      <c r="G22" s="165">
        <v>1182260.73</v>
      </c>
      <c r="H22" s="165">
        <f>G22/F22*100</f>
        <v>32.551231552863435</v>
      </c>
      <c r="I22" s="166"/>
      <c r="J22" s="166"/>
      <c r="K22" s="166"/>
      <c r="L22" s="166"/>
      <c r="M22" s="166"/>
      <c r="N22" s="166"/>
      <c r="O22" s="166"/>
      <c r="P22" s="166"/>
      <c r="Q22" s="166"/>
      <c r="R22" s="166"/>
      <c r="S22" s="166"/>
      <c r="T22" s="166"/>
      <c r="U22" s="166"/>
      <c r="V22" s="166"/>
      <c r="W22" s="166"/>
      <c r="X22" s="166"/>
    </row>
    <row r="23" spans="2:24" s="64" customFormat="1" ht="37.5">
      <c r="B23" s="79" t="s">
        <v>164</v>
      </c>
      <c r="C23" s="86" t="s">
        <v>110</v>
      </c>
      <c r="D23" s="158"/>
      <c r="E23" s="158">
        <v>12</v>
      </c>
      <c r="F23" s="156">
        <v>12</v>
      </c>
      <c r="G23" s="156">
        <v>9</v>
      </c>
      <c r="H23" s="156"/>
      <c r="I23" s="66"/>
      <c r="J23" s="66"/>
      <c r="K23" s="66"/>
      <c r="L23" s="66"/>
      <c r="M23" s="66"/>
      <c r="N23" s="66"/>
      <c r="O23" s="66"/>
      <c r="P23" s="66"/>
      <c r="Q23" s="66"/>
      <c r="R23" s="66"/>
      <c r="S23" s="66"/>
      <c r="T23" s="66"/>
      <c r="U23" s="66"/>
      <c r="V23" s="66"/>
      <c r="W23" s="66"/>
      <c r="X23" s="66"/>
    </row>
    <row r="24" spans="2:24" s="64" customFormat="1" ht="30" customHeight="1">
      <c r="B24" s="79" t="s">
        <v>165</v>
      </c>
      <c r="C24" s="83" t="s">
        <v>18</v>
      </c>
      <c r="D24" s="158">
        <v>1259956</v>
      </c>
      <c r="E24" s="158"/>
      <c r="F24" s="156"/>
      <c r="G24" s="156"/>
      <c r="H24" s="156"/>
      <c r="I24" s="66"/>
      <c r="J24" s="66"/>
      <c r="K24" s="66"/>
      <c r="L24" s="66"/>
      <c r="M24" s="66"/>
      <c r="N24" s="66"/>
      <c r="O24" s="66"/>
      <c r="P24" s="66"/>
      <c r="Q24" s="66"/>
      <c r="R24" s="66"/>
      <c r="S24" s="66"/>
      <c r="T24" s="66"/>
      <c r="U24" s="66"/>
      <c r="V24" s="66"/>
      <c r="W24" s="66"/>
      <c r="X24" s="66"/>
    </row>
    <row r="25" spans="2:24" s="64" customFormat="1" ht="30" customHeight="1">
      <c r="B25" s="79" t="s">
        <v>166</v>
      </c>
      <c r="C25" s="82" t="s">
        <v>111</v>
      </c>
      <c r="D25" s="158">
        <v>1</v>
      </c>
      <c r="E25" s="158"/>
      <c r="F25" s="156"/>
      <c r="G25" s="156"/>
      <c r="H25" s="156"/>
      <c r="I25" s="66"/>
      <c r="J25" s="66"/>
      <c r="K25" s="66"/>
      <c r="L25" s="66"/>
      <c r="M25" s="66"/>
      <c r="N25" s="66"/>
      <c r="O25" s="66"/>
      <c r="P25" s="66"/>
      <c r="Q25" s="66"/>
      <c r="R25" s="66"/>
      <c r="S25" s="66"/>
      <c r="T25" s="66"/>
      <c r="U25" s="66"/>
      <c r="V25" s="66"/>
      <c r="W25" s="66"/>
      <c r="X25" s="66"/>
    </row>
    <row r="26" spans="2:24" s="64" customFormat="1" ht="30" customHeight="1">
      <c r="B26" s="79" t="s">
        <v>167</v>
      </c>
      <c r="C26" s="83" t="s">
        <v>121</v>
      </c>
      <c r="D26" s="158"/>
      <c r="E26" s="158"/>
      <c r="F26" s="156"/>
      <c r="G26" s="156"/>
      <c r="H26" s="156"/>
      <c r="I26" s="66"/>
      <c r="J26" s="66"/>
      <c r="K26" s="66"/>
      <c r="L26" s="66"/>
      <c r="M26" s="66"/>
      <c r="N26" s="66"/>
      <c r="O26" s="66"/>
      <c r="P26" s="66"/>
      <c r="Q26" s="66"/>
      <c r="R26" s="66"/>
      <c r="S26" s="66"/>
      <c r="T26" s="66"/>
      <c r="U26" s="66"/>
      <c r="V26" s="66"/>
      <c r="W26" s="66"/>
      <c r="X26" s="66"/>
    </row>
    <row r="27" spans="2:24" s="64" customFormat="1" ht="30" customHeight="1">
      <c r="B27" s="79" t="s">
        <v>81</v>
      </c>
      <c r="C27" s="83" t="s">
        <v>120</v>
      </c>
      <c r="D27" s="158"/>
      <c r="E27" s="158"/>
      <c r="F27" s="156"/>
      <c r="G27" s="156"/>
      <c r="H27" s="156"/>
      <c r="I27" s="66"/>
      <c r="J27" s="66"/>
      <c r="K27" s="66"/>
      <c r="L27" s="66"/>
      <c r="M27" s="66"/>
      <c r="N27" s="66"/>
      <c r="O27" s="66"/>
      <c r="P27" s="66"/>
      <c r="Q27" s="66"/>
      <c r="R27" s="66"/>
      <c r="S27" s="66"/>
      <c r="T27" s="66"/>
      <c r="U27" s="66"/>
      <c r="V27" s="66"/>
      <c r="W27" s="66"/>
      <c r="X27" s="66"/>
    </row>
    <row r="28" spans="2:24" s="64" customFormat="1" ht="30" customHeight="1">
      <c r="B28" s="79" t="s">
        <v>168</v>
      </c>
      <c r="C28" s="83" t="s">
        <v>112</v>
      </c>
      <c r="D28" s="158"/>
      <c r="E28" s="158"/>
      <c r="F28" s="156"/>
      <c r="G28" s="156"/>
      <c r="H28" s="156"/>
      <c r="I28" s="66"/>
      <c r="J28" s="66"/>
      <c r="K28" s="66"/>
      <c r="L28" s="66"/>
      <c r="M28" s="66"/>
      <c r="N28" s="66"/>
      <c r="O28" s="66"/>
      <c r="P28" s="66"/>
      <c r="Q28" s="66"/>
      <c r="R28" s="66"/>
      <c r="S28" s="66"/>
      <c r="T28" s="66"/>
      <c r="U28" s="66"/>
      <c r="V28" s="66"/>
      <c r="W28" s="66"/>
      <c r="X28" s="66"/>
    </row>
    <row r="29" spans="2:24" s="64" customFormat="1" ht="30" customHeight="1">
      <c r="B29" s="79" t="s">
        <v>169</v>
      </c>
      <c r="C29" s="83" t="s">
        <v>113</v>
      </c>
      <c r="D29" s="158"/>
      <c r="E29" s="158"/>
      <c r="F29" s="156"/>
      <c r="G29" s="156"/>
      <c r="H29" s="156"/>
      <c r="I29" s="66"/>
      <c r="J29" s="66"/>
      <c r="K29" s="66"/>
      <c r="L29" s="66"/>
      <c r="M29" s="66"/>
      <c r="N29" s="66"/>
      <c r="O29" s="66"/>
      <c r="P29" s="66"/>
      <c r="Q29" s="66"/>
      <c r="R29" s="66"/>
      <c r="S29" s="66"/>
      <c r="T29" s="66"/>
      <c r="U29" s="66"/>
      <c r="V29" s="66"/>
      <c r="W29" s="66"/>
      <c r="X29" s="66"/>
    </row>
    <row r="30" spans="2:24" s="64" customFormat="1" ht="30" customHeight="1">
      <c r="B30" s="79" t="s">
        <v>170</v>
      </c>
      <c r="C30" s="83" t="s">
        <v>114</v>
      </c>
      <c r="D30" s="158">
        <v>1234177.2</v>
      </c>
      <c r="E30" s="158">
        <v>1234000</v>
      </c>
      <c r="F30" s="156">
        <v>618000</v>
      </c>
      <c r="G30" s="156">
        <v>514240.5</v>
      </c>
      <c r="H30" s="156">
        <f>G30/F30*100</f>
        <v>83.21043689320389</v>
      </c>
      <c r="I30" s="66"/>
      <c r="J30" s="66"/>
      <c r="K30" s="66"/>
      <c r="L30" s="66"/>
      <c r="M30" s="66"/>
      <c r="N30" s="66"/>
      <c r="O30" s="66"/>
      <c r="P30" s="66"/>
      <c r="Q30" s="66"/>
      <c r="R30" s="66"/>
      <c r="S30" s="66"/>
      <c r="T30" s="66"/>
      <c r="U30" s="66"/>
      <c r="V30" s="66"/>
      <c r="W30" s="66"/>
      <c r="X30" s="66"/>
    </row>
    <row r="31" spans="2:24" s="64" customFormat="1" ht="30" customHeight="1">
      <c r="B31" s="79" t="s">
        <v>171</v>
      </c>
      <c r="C31" s="83" t="s">
        <v>115</v>
      </c>
      <c r="D31" s="158">
        <v>3</v>
      </c>
      <c r="E31" s="158">
        <v>3</v>
      </c>
      <c r="F31" s="156">
        <v>3</v>
      </c>
      <c r="G31" s="156">
        <v>3</v>
      </c>
      <c r="H31" s="156"/>
      <c r="I31" s="66"/>
      <c r="J31" s="66"/>
      <c r="K31" s="66"/>
      <c r="L31" s="66"/>
      <c r="M31" s="66"/>
      <c r="N31" s="66"/>
      <c r="O31" s="66"/>
      <c r="P31" s="66"/>
      <c r="Q31" s="66"/>
      <c r="R31" s="66"/>
      <c r="S31" s="66"/>
      <c r="T31" s="66"/>
      <c r="U31" s="66"/>
      <c r="V31" s="66"/>
      <c r="W31" s="66"/>
      <c r="X31" s="66"/>
    </row>
    <row r="32" spans="2:24" s="64" customFormat="1" ht="30" customHeight="1">
      <c r="B32" s="79" t="s">
        <v>172</v>
      </c>
      <c r="C32" s="83" t="s">
        <v>19</v>
      </c>
      <c r="D32" s="158">
        <v>6842354</v>
      </c>
      <c r="E32" s="158">
        <v>7200000</v>
      </c>
      <c r="F32" s="156">
        <v>3600000</v>
      </c>
      <c r="G32" s="156">
        <v>3077504.94</v>
      </c>
      <c r="H32" s="156">
        <f>G32/F32*100</f>
        <v>85.48624833333334</v>
      </c>
      <c r="I32" s="66"/>
      <c r="J32" s="66"/>
      <c r="K32" s="66"/>
      <c r="L32" s="66"/>
      <c r="M32" s="66"/>
      <c r="N32" s="66"/>
      <c r="O32" s="66"/>
      <c r="P32" s="66"/>
      <c r="Q32" s="66"/>
      <c r="R32" s="66"/>
      <c r="S32" s="66"/>
      <c r="T32" s="66"/>
      <c r="U32" s="66"/>
      <c r="V32" s="66"/>
      <c r="W32" s="66"/>
      <c r="X32" s="66"/>
    </row>
    <row r="33" spans="2:24" s="64" customFormat="1" ht="30" customHeight="1">
      <c r="B33" s="79" t="s">
        <v>173</v>
      </c>
      <c r="C33" s="83" t="s">
        <v>116</v>
      </c>
      <c r="D33" s="158">
        <v>41199</v>
      </c>
      <c r="E33" s="158">
        <v>150000</v>
      </c>
      <c r="F33" s="156">
        <v>76000</v>
      </c>
      <c r="G33" s="156">
        <v>51420.72</v>
      </c>
      <c r="H33" s="156">
        <f>G33/F33*100</f>
        <v>67.65884210526316</v>
      </c>
      <c r="I33" s="66"/>
      <c r="J33" s="66"/>
      <c r="K33" s="66"/>
      <c r="L33" s="66"/>
      <c r="M33" s="66"/>
      <c r="N33" s="66"/>
      <c r="O33" s="66"/>
      <c r="P33" s="66"/>
      <c r="Q33" s="66"/>
      <c r="R33" s="66"/>
      <c r="S33" s="66"/>
      <c r="T33" s="66"/>
      <c r="U33" s="66"/>
      <c r="V33" s="66"/>
      <c r="W33" s="66"/>
      <c r="X33" s="66"/>
    </row>
    <row r="34" spans="2:24" s="73" customFormat="1" ht="30" customHeight="1">
      <c r="B34" s="79" t="s">
        <v>174</v>
      </c>
      <c r="C34" s="84" t="s">
        <v>117</v>
      </c>
      <c r="D34" s="158">
        <v>6</v>
      </c>
      <c r="E34" s="158">
        <v>150000</v>
      </c>
      <c r="F34" s="156">
        <v>76000</v>
      </c>
      <c r="G34" s="156">
        <v>8633.72</v>
      </c>
      <c r="H34" s="156">
        <f>G34/F34*100</f>
        <v>11.360157894736842</v>
      </c>
      <c r="I34" s="85"/>
      <c r="J34" s="85"/>
      <c r="K34" s="85"/>
      <c r="L34" s="85"/>
      <c r="M34" s="85"/>
      <c r="N34" s="85"/>
      <c r="O34" s="85"/>
      <c r="P34" s="85"/>
      <c r="Q34" s="85"/>
      <c r="R34" s="85"/>
      <c r="S34" s="85"/>
      <c r="T34" s="85"/>
      <c r="U34" s="85"/>
      <c r="V34" s="85"/>
      <c r="W34" s="85"/>
      <c r="X34" s="85"/>
    </row>
    <row r="35" spans="2:24" s="64" customFormat="1" ht="30" customHeight="1">
      <c r="B35" s="79" t="s">
        <v>175</v>
      </c>
      <c r="C35" s="83" t="s">
        <v>880</v>
      </c>
      <c r="D35" s="158">
        <v>5975539.32</v>
      </c>
      <c r="E35" s="158">
        <v>4200000</v>
      </c>
      <c r="F35" s="156">
        <v>4200000</v>
      </c>
      <c r="G35" s="156">
        <v>410106</v>
      </c>
      <c r="H35" s="156">
        <f>G35/F35*100</f>
        <v>9.76442857142857</v>
      </c>
      <c r="I35" s="66"/>
      <c r="J35" s="66"/>
      <c r="K35" s="66"/>
      <c r="L35" s="66"/>
      <c r="M35" s="66"/>
      <c r="N35" s="66"/>
      <c r="O35" s="66"/>
      <c r="P35" s="66"/>
      <c r="Q35" s="66"/>
      <c r="R35" s="66"/>
      <c r="S35" s="66"/>
      <c r="T35" s="66"/>
      <c r="U35" s="66"/>
      <c r="V35" s="66"/>
      <c r="W35" s="66"/>
      <c r="X35" s="66"/>
    </row>
    <row r="36" spans="2:24" s="64" customFormat="1" ht="30" customHeight="1">
      <c r="B36" s="79" t="s">
        <v>176</v>
      </c>
      <c r="C36" s="83" t="s">
        <v>59</v>
      </c>
      <c r="D36" s="158">
        <v>10</v>
      </c>
      <c r="E36" s="158"/>
      <c r="F36" s="156"/>
      <c r="G36" s="156">
        <v>2</v>
      </c>
      <c r="H36" s="156"/>
      <c r="I36" s="66"/>
      <c r="J36" s="66"/>
      <c r="K36" s="66"/>
      <c r="L36" s="66"/>
      <c r="M36" s="66"/>
      <c r="N36" s="66"/>
      <c r="O36" s="66"/>
      <c r="P36" s="66"/>
      <c r="Q36" s="66"/>
      <c r="R36" s="66"/>
      <c r="S36" s="66"/>
      <c r="T36" s="66"/>
      <c r="U36" s="66"/>
      <c r="V36" s="66"/>
      <c r="W36" s="66"/>
      <c r="X36" s="66"/>
    </row>
    <row r="37" spans="2:24" s="64" customFormat="1" ht="30" customHeight="1">
      <c r="B37" s="79" t="s">
        <v>82</v>
      </c>
      <c r="C37" s="83" t="s">
        <v>20</v>
      </c>
      <c r="D37" s="158">
        <v>2082361</v>
      </c>
      <c r="E37" s="158">
        <v>1065000</v>
      </c>
      <c r="F37" s="156">
        <v>600000</v>
      </c>
      <c r="G37" s="156">
        <v>312961.34</v>
      </c>
      <c r="H37" s="156">
        <f>G37/F37*100</f>
        <v>52.160223333333334</v>
      </c>
      <c r="I37" s="66"/>
      <c r="J37" s="66"/>
      <c r="K37" s="66"/>
      <c r="L37" s="66"/>
      <c r="M37" s="66"/>
      <c r="N37" s="66"/>
      <c r="O37" s="66"/>
      <c r="P37" s="66"/>
      <c r="Q37" s="66"/>
      <c r="R37" s="66"/>
      <c r="S37" s="66"/>
      <c r="T37" s="66"/>
      <c r="U37" s="66"/>
      <c r="V37" s="66"/>
      <c r="W37" s="66"/>
      <c r="X37" s="66"/>
    </row>
    <row r="38" spans="2:24" s="64" customFormat="1" ht="30" customHeight="1">
      <c r="B38" s="79" t="s">
        <v>177</v>
      </c>
      <c r="C38" s="83" t="s">
        <v>59</v>
      </c>
      <c r="D38" s="158">
        <v>17</v>
      </c>
      <c r="E38" s="158">
        <v>6</v>
      </c>
      <c r="F38" s="156">
        <v>4</v>
      </c>
      <c r="G38" s="156">
        <v>2</v>
      </c>
      <c r="H38" s="156"/>
      <c r="I38" s="66"/>
      <c r="J38" s="66"/>
      <c r="K38" s="66"/>
      <c r="L38" s="66"/>
      <c r="M38" s="66"/>
      <c r="N38" s="66"/>
      <c r="O38" s="66"/>
      <c r="P38" s="66"/>
      <c r="Q38" s="66"/>
      <c r="R38" s="66"/>
      <c r="S38" s="66"/>
      <c r="T38" s="66"/>
      <c r="U38" s="66"/>
      <c r="V38" s="66"/>
      <c r="W38" s="66"/>
      <c r="X38" s="66"/>
    </row>
    <row r="39" spans="2:24" s="64" customFormat="1" ht="30" customHeight="1">
      <c r="B39" s="79" t="s">
        <v>178</v>
      </c>
      <c r="C39" s="83" t="s">
        <v>21</v>
      </c>
      <c r="D39" s="158"/>
      <c r="E39" s="158"/>
      <c r="F39" s="156"/>
      <c r="G39" s="156"/>
      <c r="H39" s="156"/>
      <c r="I39" s="66"/>
      <c r="J39" s="66"/>
      <c r="K39" s="66"/>
      <c r="L39" s="66"/>
      <c r="M39" s="66"/>
      <c r="N39" s="66"/>
      <c r="O39" s="66"/>
      <c r="P39" s="66"/>
      <c r="Q39" s="66"/>
      <c r="R39" s="66"/>
      <c r="S39" s="66"/>
      <c r="T39" s="66"/>
      <c r="U39" s="66"/>
      <c r="V39" s="66"/>
      <c r="W39" s="66"/>
      <c r="X39" s="66"/>
    </row>
    <row r="40" spans="2:24" s="64" customFormat="1" ht="30" customHeight="1">
      <c r="B40" s="79" t="s">
        <v>179</v>
      </c>
      <c r="C40" s="83" t="s">
        <v>22</v>
      </c>
      <c r="D40" s="158">
        <v>532693</v>
      </c>
      <c r="E40" s="158">
        <v>1000000</v>
      </c>
      <c r="F40" s="156">
        <v>500000</v>
      </c>
      <c r="G40" s="156">
        <v>486618.56</v>
      </c>
      <c r="H40" s="156">
        <f>G40/F40*100</f>
        <v>97.323712</v>
      </c>
      <c r="I40" s="66"/>
      <c r="J40" s="66"/>
      <c r="K40" s="66"/>
      <c r="L40" s="66"/>
      <c r="M40" s="66"/>
      <c r="N40" s="66"/>
      <c r="O40" s="66"/>
      <c r="P40" s="66"/>
      <c r="Q40" s="66"/>
      <c r="R40" s="66"/>
      <c r="S40" s="66"/>
      <c r="T40" s="66"/>
      <c r="U40" s="66"/>
      <c r="V40" s="66"/>
      <c r="W40" s="66"/>
      <c r="X40" s="66"/>
    </row>
    <row r="41" spans="2:24" s="64" customFormat="1" ht="30" customHeight="1">
      <c r="B41" s="79" t="s">
        <v>180</v>
      </c>
      <c r="C41" s="83" t="s">
        <v>23</v>
      </c>
      <c r="D41" s="158">
        <v>392857</v>
      </c>
      <c r="E41" s="158">
        <v>440000</v>
      </c>
      <c r="F41" s="156">
        <v>220000</v>
      </c>
      <c r="G41" s="156">
        <v>178571.45</v>
      </c>
      <c r="H41" s="156">
        <f>G41/F41*100</f>
        <v>81.16884090909092</v>
      </c>
      <c r="I41" s="66"/>
      <c r="J41" s="66"/>
      <c r="K41" s="66"/>
      <c r="L41" s="66"/>
      <c r="M41" s="66"/>
      <c r="N41" s="66"/>
      <c r="O41" s="66"/>
      <c r="P41" s="66"/>
      <c r="Q41" s="66"/>
      <c r="R41" s="66"/>
      <c r="S41" s="66"/>
      <c r="T41" s="66"/>
      <c r="U41" s="66"/>
      <c r="V41" s="66"/>
      <c r="W41" s="66"/>
      <c r="X41" s="66"/>
    </row>
    <row r="42" spans="2:24" s="64" customFormat="1" ht="30" customHeight="1">
      <c r="B42" s="79" t="s">
        <v>83</v>
      </c>
      <c r="C42" s="83" t="s">
        <v>24</v>
      </c>
      <c r="D42" s="158">
        <v>1446870</v>
      </c>
      <c r="E42" s="158">
        <v>1000000</v>
      </c>
      <c r="F42" s="156">
        <v>600000</v>
      </c>
      <c r="G42" s="156">
        <v>81850</v>
      </c>
      <c r="H42" s="156"/>
      <c r="I42" s="66"/>
      <c r="J42" s="66"/>
      <c r="K42" s="66"/>
      <c r="L42" s="66"/>
      <c r="M42" s="66"/>
      <c r="N42" s="66"/>
      <c r="O42" s="66"/>
      <c r="P42" s="66"/>
      <c r="Q42" s="66"/>
      <c r="R42" s="66"/>
      <c r="S42" s="66"/>
      <c r="T42" s="66"/>
      <c r="U42" s="66"/>
      <c r="V42" s="66"/>
      <c r="W42" s="66"/>
      <c r="X42" s="66"/>
    </row>
    <row r="43" spans="2:24" s="64" customFormat="1" ht="18.75">
      <c r="B43" s="70"/>
      <c r="C43" s="69"/>
      <c r="D43" s="159"/>
      <c r="E43" s="70"/>
      <c r="F43" s="70"/>
      <c r="G43" s="70"/>
      <c r="H43" s="70"/>
      <c r="I43" s="66"/>
      <c r="J43" s="66"/>
      <c r="K43" s="66"/>
      <c r="L43" s="66"/>
      <c r="M43" s="66"/>
      <c r="N43" s="66"/>
      <c r="O43" s="66"/>
      <c r="P43" s="66"/>
      <c r="Q43" s="66"/>
      <c r="R43" s="66"/>
      <c r="S43" s="66"/>
      <c r="T43" s="66"/>
      <c r="U43" s="66"/>
      <c r="V43" s="66"/>
      <c r="W43" s="66"/>
      <c r="X43" s="66"/>
    </row>
    <row r="44" spans="2:24" s="64" customFormat="1" ht="18.75">
      <c r="B44" s="70"/>
      <c r="C44" s="69" t="s">
        <v>192</v>
      </c>
      <c r="D44" s="159"/>
      <c r="E44" s="70"/>
      <c r="F44" s="70"/>
      <c r="G44" s="159"/>
      <c r="H44" s="70"/>
      <c r="I44" s="66"/>
      <c r="J44" s="66"/>
      <c r="K44" s="66"/>
      <c r="L44" s="66"/>
      <c r="M44" s="66"/>
      <c r="N44" s="66"/>
      <c r="O44" s="66"/>
      <c r="P44" s="66"/>
      <c r="Q44" s="66"/>
      <c r="R44" s="66"/>
      <c r="S44" s="66"/>
      <c r="T44" s="66"/>
      <c r="U44" s="66"/>
      <c r="V44" s="66"/>
      <c r="W44" s="66"/>
      <c r="X44" s="66"/>
    </row>
    <row r="45" spans="2:24" s="64" customFormat="1" ht="27" customHeight="1">
      <c r="B45" s="70"/>
      <c r="C45" s="663" t="s">
        <v>193</v>
      </c>
      <c r="D45" s="663"/>
      <c r="E45" s="663"/>
      <c r="F45" s="663"/>
      <c r="G45" s="70"/>
      <c r="H45" s="70"/>
      <c r="I45" s="66"/>
      <c r="J45" s="66"/>
      <c r="K45" s="66"/>
      <c r="L45" s="66"/>
      <c r="M45" s="66"/>
      <c r="N45" s="66"/>
      <c r="O45" s="66"/>
      <c r="P45" s="66"/>
      <c r="Q45" s="66"/>
      <c r="R45" s="66"/>
      <c r="S45" s="66"/>
      <c r="T45" s="66"/>
      <c r="U45" s="66"/>
      <c r="V45" s="66"/>
      <c r="W45" s="66"/>
      <c r="X45" s="66"/>
    </row>
    <row r="46" spans="2:24" s="64" customFormat="1" ht="27" customHeight="1">
      <c r="B46" s="70"/>
      <c r="C46" s="69"/>
      <c r="D46" s="69"/>
      <c r="E46" s="69"/>
      <c r="F46" s="69"/>
      <c r="G46" s="70"/>
      <c r="H46" s="70"/>
      <c r="I46" s="66"/>
      <c r="J46" s="66"/>
      <c r="K46" s="66"/>
      <c r="L46" s="66"/>
      <c r="M46" s="66"/>
      <c r="N46" s="66"/>
      <c r="O46" s="66"/>
      <c r="P46" s="66"/>
      <c r="Q46" s="66"/>
      <c r="R46" s="66"/>
      <c r="S46" s="66"/>
      <c r="T46" s="66"/>
      <c r="U46" s="66"/>
      <c r="V46" s="66"/>
      <c r="W46" s="66"/>
      <c r="X46" s="66"/>
    </row>
    <row r="47" spans="2:24" s="64" customFormat="1" ht="37.5" customHeight="1">
      <c r="B47" s="70"/>
      <c r="C47" s="663" t="s">
        <v>1493</v>
      </c>
      <c r="D47" s="663"/>
      <c r="E47" s="663"/>
      <c r="F47" s="663"/>
      <c r="G47" s="663"/>
      <c r="H47" s="663"/>
      <c r="I47" s="66"/>
      <c r="J47" s="66"/>
      <c r="K47" s="66"/>
      <c r="L47" s="66"/>
      <c r="M47" s="66"/>
      <c r="N47" s="66"/>
      <c r="O47" s="66"/>
      <c r="P47" s="66"/>
      <c r="Q47" s="66"/>
      <c r="R47" s="66"/>
      <c r="S47" s="66"/>
      <c r="T47" s="66"/>
      <c r="U47" s="66"/>
      <c r="V47" s="66"/>
      <c r="W47" s="66"/>
      <c r="X47" s="66"/>
    </row>
    <row r="48" spans="2:24" s="64" customFormat="1" ht="27" customHeight="1">
      <c r="B48" s="70"/>
      <c r="C48" s="663" t="s">
        <v>1494</v>
      </c>
      <c r="D48" s="663"/>
      <c r="E48" s="663"/>
      <c r="F48" s="663"/>
      <c r="G48" s="663"/>
      <c r="H48" s="663"/>
      <c r="I48" s="66"/>
      <c r="J48" s="66"/>
      <c r="K48" s="66"/>
      <c r="L48" s="66"/>
      <c r="M48" s="66"/>
      <c r="N48" s="66"/>
      <c r="O48" s="66"/>
      <c r="P48" s="66"/>
      <c r="Q48" s="66"/>
      <c r="R48" s="66"/>
      <c r="S48" s="66"/>
      <c r="T48" s="66"/>
      <c r="U48" s="66"/>
      <c r="V48" s="66"/>
      <c r="W48" s="66"/>
      <c r="X48" s="66"/>
    </row>
    <row r="49" spans="2:24" s="64" customFormat="1" ht="27" customHeight="1">
      <c r="B49" s="70"/>
      <c r="C49" s="663" t="s">
        <v>1495</v>
      </c>
      <c r="D49" s="663"/>
      <c r="E49" s="663"/>
      <c r="F49" s="663"/>
      <c r="G49" s="663"/>
      <c r="H49" s="663"/>
      <c r="I49" s="66"/>
      <c r="J49" s="66"/>
      <c r="K49" s="66"/>
      <c r="L49" s="66"/>
      <c r="M49" s="66"/>
      <c r="N49" s="66"/>
      <c r="O49" s="66"/>
      <c r="P49" s="66"/>
      <c r="Q49" s="66"/>
      <c r="R49" s="66"/>
      <c r="S49" s="66"/>
      <c r="T49" s="66"/>
      <c r="U49" s="66"/>
      <c r="V49" s="66"/>
      <c r="W49" s="66"/>
      <c r="X49" s="66"/>
    </row>
    <row r="50" spans="2:24" ht="18.75">
      <c r="B50" s="8"/>
      <c r="C50" s="69" t="s">
        <v>1496</v>
      </c>
      <c r="D50" s="159"/>
      <c r="E50" s="70"/>
      <c r="F50" s="70"/>
      <c r="G50" s="70"/>
      <c r="H50" s="70"/>
      <c r="I50" s="6"/>
      <c r="J50" s="6"/>
      <c r="K50" s="6"/>
      <c r="L50" s="6"/>
      <c r="M50" s="6"/>
      <c r="N50" s="6"/>
      <c r="O50" s="6"/>
      <c r="P50" s="6"/>
      <c r="Q50" s="6"/>
      <c r="R50" s="6"/>
      <c r="S50" s="6"/>
      <c r="T50" s="6"/>
      <c r="U50" s="6"/>
      <c r="V50" s="6"/>
      <c r="W50" s="6"/>
      <c r="X50" s="6"/>
    </row>
    <row r="51" spans="2:24" ht="15.75">
      <c r="B51" s="8"/>
      <c r="C51" s="9"/>
      <c r="D51" s="160"/>
      <c r="E51" s="8"/>
      <c r="F51" s="8"/>
      <c r="G51" s="8"/>
      <c r="H51" s="8"/>
      <c r="I51" s="6"/>
      <c r="J51" s="6"/>
      <c r="K51" s="6"/>
      <c r="L51" s="6"/>
      <c r="M51" s="6"/>
      <c r="N51" s="6"/>
      <c r="O51" s="6"/>
      <c r="P51" s="6"/>
      <c r="Q51" s="6"/>
      <c r="R51" s="6"/>
      <c r="S51" s="6"/>
      <c r="T51" s="6"/>
      <c r="U51" s="6"/>
      <c r="V51" s="6"/>
      <c r="W51" s="6"/>
      <c r="X51" s="6"/>
    </row>
    <row r="52" spans="2:24" ht="24" customHeight="1">
      <c r="B52" s="2" t="s">
        <v>190</v>
      </c>
      <c r="C52" s="4" t="s">
        <v>1497</v>
      </c>
      <c r="D52" s="42" t="s">
        <v>64</v>
      </c>
      <c r="E52" s="67" t="s">
        <v>878</v>
      </c>
      <c r="F52" s="212"/>
      <c r="G52" s="213"/>
      <c r="H52" s="8"/>
      <c r="I52" s="6"/>
      <c r="J52" s="6"/>
      <c r="K52" s="6"/>
      <c r="L52" s="6"/>
      <c r="M52" s="6"/>
      <c r="N52" s="6"/>
      <c r="O52" s="6"/>
      <c r="P52" s="6"/>
      <c r="Q52" s="6"/>
      <c r="R52" s="6"/>
      <c r="S52" s="6"/>
      <c r="T52" s="6"/>
      <c r="U52" s="6"/>
      <c r="V52" s="6"/>
      <c r="W52" s="6"/>
      <c r="X52" s="6"/>
    </row>
    <row r="53" spans="2:24" ht="15.75">
      <c r="B53" s="8"/>
      <c r="C53" s="9"/>
      <c r="D53" s="160"/>
      <c r="E53" s="192"/>
      <c r="F53" s="192"/>
      <c r="G53" s="192"/>
      <c r="H53" s="8"/>
      <c r="I53" s="6"/>
      <c r="J53" s="6"/>
      <c r="K53" s="6"/>
      <c r="L53" s="6"/>
      <c r="M53" s="6"/>
      <c r="N53" s="6"/>
      <c r="O53" s="6"/>
      <c r="P53" s="6"/>
      <c r="Q53" s="6"/>
      <c r="R53" s="6"/>
      <c r="S53" s="6"/>
      <c r="T53" s="6"/>
      <c r="U53" s="6"/>
      <c r="V53" s="6"/>
      <c r="W53" s="6"/>
      <c r="X53" s="6"/>
    </row>
    <row r="54" spans="2:24" ht="15.75">
      <c r="B54" s="8"/>
      <c r="C54" s="6"/>
      <c r="D54" s="161"/>
      <c r="E54" s="192"/>
      <c r="F54" s="628" t="s">
        <v>879</v>
      </c>
      <c r="G54" s="628"/>
      <c r="H54" s="8"/>
      <c r="I54" s="6"/>
      <c r="J54" s="6"/>
      <c r="K54" s="6"/>
      <c r="L54" s="6"/>
      <c r="M54" s="6"/>
      <c r="N54" s="6"/>
      <c r="O54" s="6"/>
      <c r="P54" s="6"/>
      <c r="Q54" s="6"/>
      <c r="R54" s="6"/>
      <c r="S54" s="6"/>
      <c r="T54" s="6"/>
      <c r="U54" s="6"/>
      <c r="V54" s="6"/>
      <c r="W54" s="6"/>
      <c r="X54" s="6"/>
    </row>
    <row r="55" spans="2:24" ht="15.75">
      <c r="B55" s="8"/>
      <c r="C55" s="6"/>
      <c r="D55" s="161"/>
      <c r="E55" s="162"/>
      <c r="F55" s="8"/>
      <c r="G55" s="8"/>
      <c r="H55" s="8"/>
      <c r="I55" s="6"/>
      <c r="J55" s="6"/>
      <c r="K55" s="6"/>
      <c r="L55" s="6"/>
      <c r="M55" s="6"/>
      <c r="N55" s="6"/>
      <c r="O55" s="6"/>
      <c r="P55" s="6"/>
      <c r="Q55" s="6"/>
      <c r="R55" s="6"/>
      <c r="S55" s="6"/>
      <c r="T55" s="6"/>
      <c r="U55" s="6"/>
      <c r="V55" s="6"/>
      <c r="W55" s="6"/>
      <c r="X55" s="6"/>
    </row>
    <row r="56" spans="2:24" ht="15.75">
      <c r="B56" s="8"/>
      <c r="C56" s="6"/>
      <c r="D56" s="161"/>
      <c r="E56" s="162"/>
      <c r="F56" s="8"/>
      <c r="G56" s="8"/>
      <c r="H56" s="8"/>
      <c r="I56" s="6"/>
      <c r="J56" s="6"/>
      <c r="K56" s="6"/>
      <c r="L56" s="6"/>
      <c r="M56" s="6"/>
      <c r="N56" s="6"/>
      <c r="O56" s="6"/>
      <c r="P56" s="6"/>
      <c r="Q56" s="6"/>
      <c r="R56" s="6"/>
      <c r="S56" s="6"/>
      <c r="T56" s="6"/>
      <c r="U56" s="6"/>
      <c r="V56" s="6"/>
      <c r="W56" s="6"/>
      <c r="X56" s="6"/>
    </row>
    <row r="57" spans="2:24" ht="15.75">
      <c r="B57" s="8"/>
      <c r="C57" s="10"/>
      <c r="D57" s="163"/>
      <c r="E57" s="164"/>
      <c r="F57" s="8"/>
      <c r="G57" s="8"/>
      <c r="H57" s="8"/>
      <c r="I57" s="6"/>
      <c r="J57" s="6"/>
      <c r="K57" s="6"/>
      <c r="L57" s="6"/>
      <c r="M57" s="6"/>
      <c r="N57" s="6"/>
      <c r="O57" s="6"/>
      <c r="P57" s="6"/>
      <c r="Q57" s="6"/>
      <c r="R57" s="6"/>
      <c r="S57" s="6"/>
      <c r="T57" s="6"/>
      <c r="U57" s="6"/>
      <c r="V57" s="6"/>
      <c r="W57" s="6"/>
      <c r="X57" s="6"/>
    </row>
    <row r="58" spans="2:24" ht="15.75">
      <c r="B58" s="8"/>
      <c r="C58" s="10"/>
      <c r="D58" s="163"/>
      <c r="E58" s="164"/>
      <c r="F58" s="8"/>
      <c r="G58" s="8"/>
      <c r="H58" s="8"/>
      <c r="I58" s="6"/>
      <c r="J58" s="14"/>
      <c r="K58" s="6"/>
      <c r="L58" s="6"/>
      <c r="M58" s="6"/>
      <c r="N58" s="6"/>
      <c r="O58" s="6"/>
      <c r="P58" s="6"/>
      <c r="Q58" s="6"/>
      <c r="R58" s="6"/>
      <c r="S58" s="6"/>
      <c r="T58" s="6"/>
      <c r="U58" s="6"/>
      <c r="V58" s="6"/>
      <c r="W58" s="6"/>
      <c r="X58" s="6"/>
    </row>
    <row r="59" spans="2:24" ht="15.75">
      <c r="B59" s="8"/>
      <c r="C59" s="10"/>
      <c r="D59" s="163"/>
      <c r="E59" s="164"/>
      <c r="F59" s="8"/>
      <c r="G59" s="8"/>
      <c r="H59" s="8"/>
      <c r="I59" s="6"/>
      <c r="J59" s="6"/>
      <c r="K59" s="6"/>
      <c r="L59" s="6"/>
      <c r="M59" s="6"/>
      <c r="N59" s="6"/>
      <c r="O59" s="6"/>
      <c r="P59" s="6"/>
      <c r="Q59" s="6"/>
      <c r="R59" s="6"/>
      <c r="S59" s="6"/>
      <c r="T59" s="6"/>
      <c r="U59" s="6"/>
      <c r="V59" s="6"/>
      <c r="W59" s="6"/>
      <c r="X59" s="6"/>
    </row>
    <row r="60" spans="2:20" ht="15.75">
      <c r="B60" s="8"/>
      <c r="C60" s="10"/>
      <c r="D60" s="163"/>
      <c r="E60" s="164"/>
      <c r="F60" s="8"/>
      <c r="G60" s="8"/>
      <c r="H60" s="8"/>
      <c r="I60" s="6"/>
      <c r="J60" s="6"/>
      <c r="K60" s="6"/>
      <c r="L60" s="6"/>
      <c r="M60" s="6"/>
      <c r="N60" s="6"/>
      <c r="O60" s="6"/>
      <c r="P60" s="6"/>
      <c r="Q60" s="6"/>
      <c r="R60" s="6"/>
      <c r="S60" s="6"/>
      <c r="T60" s="6"/>
    </row>
    <row r="61" spans="2:20" ht="15.75">
      <c r="B61" s="8"/>
      <c r="C61" s="10"/>
      <c r="D61" s="163"/>
      <c r="E61" s="164"/>
      <c r="F61" s="8"/>
      <c r="G61" s="8"/>
      <c r="H61" s="8"/>
      <c r="I61" s="6"/>
      <c r="J61" s="6"/>
      <c r="K61" s="6"/>
      <c r="L61" s="6"/>
      <c r="M61" s="6"/>
      <c r="N61" s="6"/>
      <c r="O61" s="6"/>
      <c r="P61" s="6"/>
      <c r="Q61" s="6"/>
      <c r="R61" s="6"/>
      <c r="S61" s="6"/>
      <c r="T61" s="6"/>
    </row>
    <row r="62" spans="2:20" ht="15.75">
      <c r="B62" s="8"/>
      <c r="C62" s="10"/>
      <c r="D62" s="163"/>
      <c r="E62" s="164"/>
      <c r="F62" s="8"/>
      <c r="G62" s="8"/>
      <c r="H62" s="8"/>
      <c r="I62" s="6"/>
      <c r="J62" s="6"/>
      <c r="K62" s="6"/>
      <c r="L62" s="6"/>
      <c r="M62" s="6"/>
      <c r="N62" s="6"/>
      <c r="O62" s="6"/>
      <c r="P62" s="6"/>
      <c r="Q62" s="6"/>
      <c r="R62" s="6"/>
      <c r="S62" s="6"/>
      <c r="T62" s="6"/>
    </row>
    <row r="63" spans="2:20" ht="15.75">
      <c r="B63" s="8"/>
      <c r="C63" s="6"/>
      <c r="D63" s="161"/>
      <c r="E63" s="162"/>
      <c r="F63" s="8"/>
      <c r="G63" s="8"/>
      <c r="H63" s="8"/>
      <c r="I63" s="6"/>
      <c r="J63" s="6"/>
      <c r="K63" s="6"/>
      <c r="L63" s="6"/>
      <c r="M63" s="6"/>
      <c r="N63" s="6"/>
      <c r="O63" s="6"/>
      <c r="P63" s="6"/>
      <c r="Q63" s="6"/>
      <c r="R63" s="6"/>
      <c r="S63" s="6"/>
      <c r="T63" s="6"/>
    </row>
    <row r="64" spans="2:20" ht="15.75">
      <c r="B64" s="8"/>
      <c r="C64" s="6"/>
      <c r="D64" s="161"/>
      <c r="E64" s="162"/>
      <c r="F64" s="8"/>
      <c r="G64" s="8"/>
      <c r="H64" s="8"/>
      <c r="I64" s="6"/>
      <c r="J64" s="6"/>
      <c r="K64" s="6"/>
      <c r="L64" s="6"/>
      <c r="M64" s="6"/>
      <c r="N64" s="6"/>
      <c r="O64" s="6"/>
      <c r="P64" s="6"/>
      <c r="Q64" s="6"/>
      <c r="R64" s="6"/>
      <c r="S64" s="6"/>
      <c r="T64" s="6"/>
    </row>
    <row r="65" spans="2:20" ht="15.75">
      <c r="B65" s="8"/>
      <c r="C65" s="6"/>
      <c r="D65" s="161"/>
      <c r="E65" s="162"/>
      <c r="F65" s="8"/>
      <c r="G65" s="8"/>
      <c r="H65" s="8"/>
      <c r="I65" s="6"/>
      <c r="J65" s="6"/>
      <c r="K65" s="6"/>
      <c r="L65" s="6"/>
      <c r="M65" s="6"/>
      <c r="N65" s="6"/>
      <c r="O65" s="6"/>
      <c r="P65" s="6"/>
      <c r="Q65" s="6"/>
      <c r="R65" s="6"/>
      <c r="S65" s="6"/>
      <c r="T65" s="6"/>
    </row>
    <row r="66" spans="2:20" ht="15.75">
      <c r="B66" s="8"/>
      <c r="C66" s="10"/>
      <c r="D66" s="163"/>
      <c r="E66" s="164"/>
      <c r="F66" s="8"/>
      <c r="G66" s="8"/>
      <c r="H66" s="8"/>
      <c r="I66" s="6"/>
      <c r="J66" s="6"/>
      <c r="K66" s="6"/>
      <c r="L66" s="6"/>
      <c r="M66" s="6"/>
      <c r="N66" s="6"/>
      <c r="O66" s="6"/>
      <c r="P66" s="6"/>
      <c r="Q66" s="6"/>
      <c r="R66" s="6"/>
      <c r="S66" s="6"/>
      <c r="T66" s="6"/>
    </row>
    <row r="67" spans="2:20" ht="15.75">
      <c r="B67" s="8"/>
      <c r="C67" s="10"/>
      <c r="D67" s="163"/>
      <c r="E67" s="164"/>
      <c r="F67" s="8"/>
      <c r="G67" s="8"/>
      <c r="H67" s="8"/>
      <c r="I67" s="6"/>
      <c r="J67" s="6"/>
      <c r="K67" s="6"/>
      <c r="L67" s="6"/>
      <c r="M67" s="6"/>
      <c r="N67" s="6"/>
      <c r="O67" s="6"/>
      <c r="P67" s="6"/>
      <c r="Q67" s="6"/>
      <c r="R67" s="6"/>
      <c r="S67" s="6"/>
      <c r="T67" s="6"/>
    </row>
    <row r="68" spans="2:20" ht="15.75">
      <c r="B68" s="8"/>
      <c r="C68" s="10"/>
      <c r="D68" s="163"/>
      <c r="E68" s="164"/>
      <c r="F68" s="8"/>
      <c r="G68" s="8"/>
      <c r="H68" s="8"/>
      <c r="I68" s="6"/>
      <c r="J68" s="6"/>
      <c r="K68" s="6"/>
      <c r="L68" s="6"/>
      <c r="M68" s="6"/>
      <c r="N68" s="6"/>
      <c r="O68" s="6"/>
      <c r="P68" s="6"/>
      <c r="Q68" s="6"/>
      <c r="R68" s="6"/>
      <c r="S68" s="6"/>
      <c r="T68" s="6"/>
    </row>
    <row r="69" spans="2:20" ht="15.75">
      <c r="B69" s="8"/>
      <c r="C69" s="10"/>
      <c r="D69" s="163"/>
      <c r="E69" s="164"/>
      <c r="F69" s="8"/>
      <c r="G69" s="8"/>
      <c r="H69" s="8"/>
      <c r="I69" s="6"/>
      <c r="J69" s="6"/>
      <c r="K69" s="6"/>
      <c r="L69" s="6"/>
      <c r="M69" s="6"/>
      <c r="N69" s="6"/>
      <c r="O69" s="6"/>
      <c r="P69" s="6"/>
      <c r="Q69" s="6"/>
      <c r="R69" s="6"/>
      <c r="S69" s="6"/>
      <c r="T69" s="6"/>
    </row>
    <row r="70" spans="2:16" ht="15.75">
      <c r="B70" s="6"/>
      <c r="C70" s="6"/>
      <c r="D70" s="161"/>
      <c r="E70" s="162"/>
      <c r="F70" s="162"/>
      <c r="G70" s="162"/>
      <c r="H70" s="162"/>
      <c r="I70" s="6"/>
      <c r="J70" s="6"/>
      <c r="K70" s="6"/>
      <c r="L70" s="6"/>
      <c r="M70" s="6"/>
      <c r="N70" s="6"/>
      <c r="O70" s="6"/>
      <c r="P70" s="6"/>
    </row>
    <row r="71" spans="2:16" ht="15.75">
      <c r="B71" s="6"/>
      <c r="C71" s="6"/>
      <c r="D71" s="161"/>
      <c r="E71" s="162"/>
      <c r="F71" s="162"/>
      <c r="G71" s="162"/>
      <c r="H71" s="162"/>
      <c r="I71" s="6"/>
      <c r="J71" s="6"/>
      <c r="K71" s="6"/>
      <c r="L71" s="6"/>
      <c r="M71" s="6"/>
      <c r="N71" s="6"/>
      <c r="O71" s="6"/>
      <c r="P71" s="6"/>
    </row>
    <row r="72" spans="2:16" ht="15.75">
      <c r="B72" s="6"/>
      <c r="C72" s="6"/>
      <c r="D72" s="161"/>
      <c r="E72" s="162"/>
      <c r="F72" s="162"/>
      <c r="G72" s="162"/>
      <c r="H72" s="162"/>
      <c r="I72" s="6"/>
      <c r="J72" s="6"/>
      <c r="K72" s="6"/>
      <c r="L72" s="6"/>
      <c r="M72" s="6"/>
      <c r="N72" s="6"/>
      <c r="O72" s="6"/>
      <c r="P72" s="6"/>
    </row>
    <row r="73" spans="2:16" ht="15.75">
      <c r="B73" s="6"/>
      <c r="C73" s="6"/>
      <c r="D73" s="161"/>
      <c r="E73" s="162"/>
      <c r="F73" s="162"/>
      <c r="G73" s="162"/>
      <c r="H73" s="162"/>
      <c r="I73" s="6"/>
      <c r="J73" s="6"/>
      <c r="K73" s="6"/>
      <c r="L73" s="6"/>
      <c r="M73" s="6"/>
      <c r="N73" s="6"/>
      <c r="O73" s="6"/>
      <c r="P73" s="6"/>
    </row>
    <row r="74" spans="2:16" ht="15.75">
      <c r="B74" s="6"/>
      <c r="C74" s="6"/>
      <c r="D74" s="161"/>
      <c r="E74" s="162"/>
      <c r="F74" s="162"/>
      <c r="G74" s="162"/>
      <c r="H74" s="162"/>
      <c r="I74" s="6"/>
      <c r="J74" s="6"/>
      <c r="K74" s="6"/>
      <c r="L74" s="6"/>
      <c r="M74" s="6"/>
      <c r="N74" s="6"/>
      <c r="O74" s="6"/>
      <c r="P74" s="6"/>
    </row>
    <row r="75" spans="2:16" ht="15.75">
      <c r="B75" s="6"/>
      <c r="C75" s="6"/>
      <c r="D75" s="161"/>
      <c r="E75" s="162"/>
      <c r="F75" s="162"/>
      <c r="G75" s="162"/>
      <c r="H75" s="162"/>
      <c r="I75" s="6"/>
      <c r="J75" s="6"/>
      <c r="K75" s="6"/>
      <c r="L75" s="6"/>
      <c r="M75" s="6"/>
      <c r="N75" s="6"/>
      <c r="O75" s="6"/>
      <c r="P75" s="6"/>
    </row>
    <row r="76" spans="2:16" ht="15.75">
      <c r="B76" s="6"/>
      <c r="C76" s="6"/>
      <c r="D76" s="161"/>
      <c r="E76" s="162"/>
      <c r="F76" s="162"/>
      <c r="G76" s="162"/>
      <c r="H76" s="162"/>
      <c r="I76" s="6"/>
      <c r="J76" s="6"/>
      <c r="K76" s="6"/>
      <c r="L76" s="6"/>
      <c r="M76" s="6"/>
      <c r="N76" s="6"/>
      <c r="O76" s="6"/>
      <c r="P76" s="6"/>
    </row>
    <row r="77" spans="2:16" ht="15.75">
      <c r="B77" s="6"/>
      <c r="C77" s="6"/>
      <c r="D77" s="161"/>
      <c r="E77" s="162"/>
      <c r="F77" s="162"/>
      <c r="G77" s="162"/>
      <c r="H77" s="162"/>
      <c r="I77" s="6"/>
      <c r="J77" s="6"/>
      <c r="K77" s="6"/>
      <c r="L77" s="6"/>
      <c r="M77" s="6"/>
      <c r="N77" s="6"/>
      <c r="O77" s="6"/>
      <c r="P77" s="6"/>
    </row>
    <row r="78" spans="2:16" ht="15.75">
      <c r="B78" s="6"/>
      <c r="C78" s="6"/>
      <c r="D78" s="161"/>
      <c r="E78" s="162"/>
      <c r="F78" s="162"/>
      <c r="G78" s="162"/>
      <c r="H78" s="162"/>
      <c r="I78" s="6"/>
      <c r="J78" s="6"/>
      <c r="K78" s="6"/>
      <c r="L78" s="6"/>
      <c r="M78" s="6"/>
      <c r="N78" s="6"/>
      <c r="O78" s="6"/>
      <c r="P78" s="6"/>
    </row>
    <row r="79" spans="2:16" ht="15.75">
      <c r="B79" s="6"/>
      <c r="C79" s="6"/>
      <c r="D79" s="161"/>
      <c r="E79" s="162"/>
      <c r="F79" s="162"/>
      <c r="G79" s="162"/>
      <c r="H79" s="162"/>
      <c r="I79" s="6"/>
      <c r="J79" s="6"/>
      <c r="K79" s="6"/>
      <c r="L79" s="6"/>
      <c r="M79" s="6"/>
      <c r="N79" s="6"/>
      <c r="O79" s="6"/>
      <c r="P79" s="6"/>
    </row>
    <row r="80" spans="2:16" ht="15.75">
      <c r="B80" s="6"/>
      <c r="C80" s="6"/>
      <c r="D80" s="161"/>
      <c r="E80" s="162"/>
      <c r="F80" s="162"/>
      <c r="G80" s="162"/>
      <c r="H80" s="162"/>
      <c r="I80" s="6"/>
      <c r="J80" s="6"/>
      <c r="K80" s="6"/>
      <c r="L80" s="6"/>
      <c r="M80" s="6"/>
      <c r="N80" s="6"/>
      <c r="O80" s="6"/>
      <c r="P80" s="6"/>
    </row>
    <row r="81" spans="2:16" ht="15.75">
      <c r="B81" s="6"/>
      <c r="C81" s="6"/>
      <c r="D81" s="161"/>
      <c r="E81" s="162"/>
      <c r="F81" s="162"/>
      <c r="G81" s="162"/>
      <c r="H81" s="162"/>
      <c r="I81" s="6"/>
      <c r="J81" s="6"/>
      <c r="K81" s="6"/>
      <c r="L81" s="6"/>
      <c r="M81" s="6"/>
      <c r="N81" s="6"/>
      <c r="O81" s="6"/>
      <c r="P81" s="6"/>
    </row>
    <row r="82" spans="2:16" ht="15.75">
      <c r="B82" s="6"/>
      <c r="C82" s="6"/>
      <c r="D82" s="161"/>
      <c r="E82" s="162"/>
      <c r="F82" s="162"/>
      <c r="G82" s="162"/>
      <c r="H82" s="162"/>
      <c r="I82" s="6"/>
      <c r="J82" s="6"/>
      <c r="K82" s="6"/>
      <c r="L82" s="6"/>
      <c r="M82" s="6"/>
      <c r="N82" s="6"/>
      <c r="O82" s="6"/>
      <c r="P82" s="6"/>
    </row>
    <row r="83" spans="2:16" ht="15.75">
      <c r="B83" s="6"/>
      <c r="C83" s="6"/>
      <c r="D83" s="161"/>
      <c r="E83" s="162"/>
      <c r="F83" s="162"/>
      <c r="G83" s="162"/>
      <c r="H83" s="162"/>
      <c r="I83" s="6"/>
      <c r="J83" s="6"/>
      <c r="K83" s="6"/>
      <c r="L83" s="6"/>
      <c r="M83" s="6"/>
      <c r="N83" s="6"/>
      <c r="O83" s="6"/>
      <c r="P83" s="6"/>
    </row>
    <row r="84" spans="2:16" ht="15.75">
      <c r="B84" s="6"/>
      <c r="C84" s="6"/>
      <c r="D84" s="161"/>
      <c r="E84" s="162"/>
      <c r="F84" s="162"/>
      <c r="G84" s="162"/>
      <c r="H84" s="162"/>
      <c r="I84" s="6"/>
      <c r="J84" s="6"/>
      <c r="K84" s="6"/>
      <c r="L84" s="6"/>
      <c r="M84" s="6"/>
      <c r="N84" s="6"/>
      <c r="O84" s="6"/>
      <c r="P84" s="6"/>
    </row>
    <row r="85" spans="2:16" ht="15.75">
      <c r="B85" s="6"/>
      <c r="C85" s="6"/>
      <c r="D85" s="161"/>
      <c r="E85" s="162"/>
      <c r="F85" s="162"/>
      <c r="G85" s="162"/>
      <c r="H85" s="162"/>
      <c r="I85" s="6"/>
      <c r="J85" s="6"/>
      <c r="K85" s="6"/>
      <c r="L85" s="6"/>
      <c r="M85" s="6"/>
      <c r="N85" s="6"/>
      <c r="O85" s="6"/>
      <c r="P85" s="6"/>
    </row>
    <row r="86" spans="2:16" ht="15.75">
      <c r="B86" s="6"/>
      <c r="C86" s="6"/>
      <c r="D86" s="161"/>
      <c r="E86" s="162"/>
      <c r="F86" s="162"/>
      <c r="G86" s="162"/>
      <c r="H86" s="162"/>
      <c r="I86" s="6"/>
      <c r="J86" s="6"/>
      <c r="K86" s="6"/>
      <c r="L86" s="6"/>
      <c r="M86" s="6"/>
      <c r="N86" s="6"/>
      <c r="O86" s="6"/>
      <c r="P86" s="6"/>
    </row>
    <row r="87" spans="2:16" ht="15.75">
      <c r="B87" s="6"/>
      <c r="C87" s="6"/>
      <c r="D87" s="161"/>
      <c r="E87" s="162"/>
      <c r="F87" s="162"/>
      <c r="G87" s="162"/>
      <c r="H87" s="162"/>
      <c r="I87" s="6"/>
      <c r="J87" s="6"/>
      <c r="K87" s="6"/>
      <c r="L87" s="6"/>
      <c r="M87" s="6"/>
      <c r="N87" s="6"/>
      <c r="O87" s="6"/>
      <c r="P87" s="6"/>
    </row>
    <row r="88" spans="2:16" ht="15.75">
      <c r="B88" s="6"/>
      <c r="C88" s="6"/>
      <c r="D88" s="161"/>
      <c r="E88" s="162"/>
      <c r="F88" s="162"/>
      <c r="G88" s="162"/>
      <c r="H88" s="162"/>
      <c r="I88" s="6"/>
      <c r="J88" s="6"/>
      <c r="K88" s="6"/>
      <c r="L88" s="6"/>
      <c r="M88" s="6"/>
      <c r="N88" s="6"/>
      <c r="O88" s="6"/>
      <c r="P88" s="6"/>
    </row>
    <row r="89" spans="2:16" ht="15.75">
      <c r="B89" s="6"/>
      <c r="C89" s="6"/>
      <c r="D89" s="161"/>
      <c r="E89" s="162"/>
      <c r="F89" s="162"/>
      <c r="G89" s="162"/>
      <c r="H89" s="162"/>
      <c r="I89" s="6"/>
      <c r="J89" s="6"/>
      <c r="K89" s="6"/>
      <c r="L89" s="6"/>
      <c r="M89" s="6"/>
      <c r="N89" s="6"/>
      <c r="O89" s="6"/>
      <c r="P89" s="6"/>
    </row>
    <row r="90" spans="2:16" ht="15.75">
      <c r="B90" s="6"/>
      <c r="C90" s="6"/>
      <c r="D90" s="161"/>
      <c r="E90" s="162"/>
      <c r="F90" s="162"/>
      <c r="G90" s="162"/>
      <c r="H90" s="162"/>
      <c r="I90" s="6"/>
      <c r="J90" s="6"/>
      <c r="K90" s="6"/>
      <c r="L90" s="6"/>
      <c r="M90" s="6"/>
      <c r="N90" s="6"/>
      <c r="O90" s="6"/>
      <c r="P90" s="6"/>
    </row>
    <row r="91" spans="2:16" ht="15.75">
      <c r="B91" s="6"/>
      <c r="C91" s="6"/>
      <c r="D91" s="161"/>
      <c r="E91" s="162"/>
      <c r="F91" s="162"/>
      <c r="G91" s="162"/>
      <c r="H91" s="162"/>
      <c r="I91" s="6"/>
      <c r="J91" s="6"/>
      <c r="K91" s="6"/>
      <c r="L91" s="6"/>
      <c r="M91" s="6"/>
      <c r="N91" s="6"/>
      <c r="O91" s="6"/>
      <c r="P91" s="6"/>
    </row>
    <row r="92" spans="2:16" ht="15.75">
      <c r="B92" s="6"/>
      <c r="C92" s="6"/>
      <c r="D92" s="161"/>
      <c r="E92" s="162"/>
      <c r="F92" s="162"/>
      <c r="G92" s="162"/>
      <c r="H92" s="162"/>
      <c r="I92" s="6"/>
      <c r="J92" s="6"/>
      <c r="K92" s="6"/>
      <c r="L92" s="6"/>
      <c r="M92" s="6"/>
      <c r="N92" s="6"/>
      <c r="O92" s="6"/>
      <c r="P92" s="6"/>
    </row>
    <row r="93" spans="2:16" ht="15.75">
      <c r="B93" s="6"/>
      <c r="C93" s="6"/>
      <c r="D93" s="161"/>
      <c r="E93" s="162"/>
      <c r="F93" s="162"/>
      <c r="G93" s="162"/>
      <c r="H93" s="162"/>
      <c r="I93" s="6"/>
      <c r="J93" s="6"/>
      <c r="K93" s="6"/>
      <c r="L93" s="6"/>
      <c r="M93" s="6"/>
      <c r="N93" s="6"/>
      <c r="O93" s="6"/>
      <c r="P93" s="6"/>
    </row>
    <row r="94" spans="2:16" ht="15.75">
      <c r="B94" s="6"/>
      <c r="C94" s="6"/>
      <c r="D94" s="161"/>
      <c r="E94" s="162"/>
      <c r="F94" s="162"/>
      <c r="G94" s="162"/>
      <c r="H94" s="162"/>
      <c r="I94" s="6"/>
      <c r="J94" s="6"/>
      <c r="K94" s="6"/>
      <c r="L94" s="6"/>
      <c r="M94" s="6"/>
      <c r="N94" s="6"/>
      <c r="O94" s="6"/>
      <c r="P94" s="6"/>
    </row>
    <row r="95" spans="2:16" ht="15.75">
      <c r="B95" s="6"/>
      <c r="C95" s="6"/>
      <c r="D95" s="161"/>
      <c r="E95" s="162"/>
      <c r="F95" s="162"/>
      <c r="G95" s="162"/>
      <c r="H95" s="162"/>
      <c r="I95" s="6"/>
      <c r="J95" s="6"/>
      <c r="K95" s="6"/>
      <c r="L95" s="6"/>
      <c r="M95" s="6"/>
      <c r="N95" s="6"/>
      <c r="O95" s="6"/>
      <c r="P95" s="6"/>
    </row>
    <row r="96" spans="2:16" ht="15.75">
      <c r="B96" s="6"/>
      <c r="C96" s="6"/>
      <c r="D96" s="161"/>
      <c r="E96" s="162"/>
      <c r="F96" s="162"/>
      <c r="G96" s="162"/>
      <c r="H96" s="162"/>
      <c r="I96" s="6"/>
      <c r="J96" s="6"/>
      <c r="K96" s="6"/>
      <c r="L96" s="6"/>
      <c r="M96" s="6"/>
      <c r="N96" s="6"/>
      <c r="O96" s="6"/>
      <c r="P96" s="6"/>
    </row>
    <row r="97" spans="2:16" ht="15.75">
      <c r="B97" s="6"/>
      <c r="C97" s="6"/>
      <c r="D97" s="161"/>
      <c r="E97" s="162"/>
      <c r="F97" s="162"/>
      <c r="G97" s="162"/>
      <c r="H97" s="162"/>
      <c r="I97" s="6"/>
      <c r="J97" s="6"/>
      <c r="K97" s="6"/>
      <c r="L97" s="6"/>
      <c r="M97" s="6"/>
      <c r="N97" s="6"/>
      <c r="O97" s="6"/>
      <c r="P97" s="6"/>
    </row>
    <row r="98" spans="2:16" ht="15.75">
      <c r="B98" s="6"/>
      <c r="C98" s="6"/>
      <c r="D98" s="161"/>
      <c r="E98" s="162"/>
      <c r="F98" s="162"/>
      <c r="G98" s="162"/>
      <c r="H98" s="162"/>
      <c r="I98" s="6"/>
      <c r="J98" s="6"/>
      <c r="K98" s="6"/>
      <c r="L98" s="6"/>
      <c r="M98" s="6"/>
      <c r="N98" s="6"/>
      <c r="O98" s="6"/>
      <c r="P98" s="6"/>
    </row>
    <row r="99" spans="2:16" ht="15.75">
      <c r="B99" s="6"/>
      <c r="C99" s="6"/>
      <c r="D99" s="161"/>
      <c r="E99" s="162"/>
      <c r="F99" s="162"/>
      <c r="G99" s="162"/>
      <c r="H99" s="162"/>
      <c r="I99" s="6"/>
      <c r="J99" s="6"/>
      <c r="K99" s="6"/>
      <c r="L99" s="6"/>
      <c r="M99" s="6"/>
      <c r="N99" s="6"/>
      <c r="O99" s="6"/>
      <c r="P99" s="6"/>
    </row>
    <row r="100" spans="2:16" ht="15.75">
      <c r="B100" s="6"/>
      <c r="C100" s="6"/>
      <c r="D100" s="161"/>
      <c r="E100" s="162"/>
      <c r="F100" s="162"/>
      <c r="G100" s="162"/>
      <c r="H100" s="162"/>
      <c r="I100" s="6"/>
      <c r="J100" s="6"/>
      <c r="K100" s="6"/>
      <c r="L100" s="6"/>
      <c r="M100" s="6"/>
      <c r="N100" s="6"/>
      <c r="O100" s="6"/>
      <c r="P100" s="6"/>
    </row>
    <row r="101" spans="2:16" ht="15.75">
      <c r="B101" s="6"/>
      <c r="C101" s="6"/>
      <c r="D101" s="161"/>
      <c r="E101" s="162"/>
      <c r="F101" s="162"/>
      <c r="G101" s="162"/>
      <c r="H101" s="162"/>
      <c r="I101" s="6"/>
      <c r="J101" s="6"/>
      <c r="K101" s="6"/>
      <c r="L101" s="6"/>
      <c r="M101" s="6"/>
      <c r="N101" s="6"/>
      <c r="O101" s="6"/>
      <c r="P101" s="6"/>
    </row>
    <row r="102" spans="2:16" ht="15.75">
      <c r="B102" s="6"/>
      <c r="C102" s="6"/>
      <c r="D102" s="161"/>
      <c r="E102" s="162"/>
      <c r="F102" s="162"/>
      <c r="G102" s="162"/>
      <c r="H102" s="162"/>
      <c r="I102" s="6"/>
      <c r="J102" s="6"/>
      <c r="K102" s="6"/>
      <c r="L102" s="6"/>
      <c r="M102" s="6"/>
      <c r="N102" s="6"/>
      <c r="O102" s="6"/>
      <c r="P102" s="6"/>
    </row>
    <row r="103" spans="2:16" ht="15.75">
      <c r="B103" s="6"/>
      <c r="C103" s="6"/>
      <c r="D103" s="161"/>
      <c r="E103" s="162"/>
      <c r="F103" s="162"/>
      <c r="G103" s="162"/>
      <c r="H103" s="162"/>
      <c r="I103" s="6"/>
      <c r="J103" s="6"/>
      <c r="K103" s="6"/>
      <c r="L103" s="6"/>
      <c r="M103" s="6"/>
      <c r="N103" s="6"/>
      <c r="O103" s="6"/>
      <c r="P103" s="6"/>
    </row>
    <row r="104" spans="2:16" ht="15.75">
      <c r="B104" s="6"/>
      <c r="C104" s="6"/>
      <c r="D104" s="161"/>
      <c r="E104" s="162"/>
      <c r="F104" s="162"/>
      <c r="G104" s="162"/>
      <c r="H104" s="162"/>
      <c r="I104" s="6"/>
      <c r="J104" s="6"/>
      <c r="K104" s="6"/>
      <c r="L104" s="6"/>
      <c r="M104" s="6"/>
      <c r="N104" s="6"/>
      <c r="O104" s="6"/>
      <c r="P104" s="6"/>
    </row>
    <row r="105" spans="2:16" ht="15.75">
      <c r="B105" s="6"/>
      <c r="C105" s="6"/>
      <c r="D105" s="161"/>
      <c r="E105" s="162"/>
      <c r="F105" s="162"/>
      <c r="G105" s="162"/>
      <c r="H105" s="162"/>
      <c r="I105" s="6"/>
      <c r="J105" s="6"/>
      <c r="K105" s="6"/>
      <c r="L105" s="6"/>
      <c r="M105" s="6"/>
      <c r="N105" s="6"/>
      <c r="O105" s="6"/>
      <c r="P105" s="6"/>
    </row>
  </sheetData>
  <sheetProtection/>
  <mergeCells count="24">
    <mergeCell ref="F54:G54"/>
    <mergeCell ref="B8:H8"/>
    <mergeCell ref="B10:B11"/>
    <mergeCell ref="C10:C11"/>
    <mergeCell ref="H10:H11"/>
    <mergeCell ref="D10:D11"/>
    <mergeCell ref="E10:E11"/>
    <mergeCell ref="F10:G10"/>
    <mergeCell ref="C47:H47"/>
    <mergeCell ref="C48:H48"/>
    <mergeCell ref="O10:O11"/>
    <mergeCell ref="T10:T11"/>
    <mergeCell ref="P10:P11"/>
    <mergeCell ref="Q10:Q11"/>
    <mergeCell ref="R10:R11"/>
    <mergeCell ref="S10:S11"/>
    <mergeCell ref="C49:H49"/>
    <mergeCell ref="M10:M11"/>
    <mergeCell ref="N10:N11"/>
    <mergeCell ref="I10:I11"/>
    <mergeCell ref="J10:J11"/>
    <mergeCell ref="K10:K11"/>
    <mergeCell ref="L10:L11"/>
    <mergeCell ref="C45:F45"/>
  </mergeCells>
  <printOptions/>
  <pageMargins left="0" right="0" top="0" bottom="0" header="0.5118110236220472" footer="0.5118110236220472"/>
  <pageSetup fitToHeight="1" fitToWidth="1" horizontalDpi="600" verticalDpi="600" orientation="portrait" scale="54" r:id="rId1"/>
  <colBreaks count="1" manualBreakCount="1">
    <brk id="8" max="65535" man="1"/>
  </colBreaks>
  <ignoredErrors>
    <ignoredError sqref="B12:B15" numberStoredAsText="1"/>
  </ignoredErrors>
</worksheet>
</file>

<file path=xl/worksheets/sheet5.xml><?xml version="1.0" encoding="utf-8"?>
<worksheet xmlns="http://schemas.openxmlformats.org/spreadsheetml/2006/main" xmlns:r="http://schemas.openxmlformats.org/officeDocument/2006/relationships">
  <sheetPr>
    <tabColor rgb="FFFFFF00"/>
    <pageSetUpPr fitToPage="1"/>
  </sheetPr>
  <dimension ref="B2:R29"/>
  <sheetViews>
    <sheetView view="pageBreakPreview" zoomScale="86" zoomScaleNormal="75" zoomScaleSheetLayoutView="86" zoomScalePageLayoutView="0" workbookViewId="0" topLeftCell="A1">
      <selection activeCell="B2" sqref="B2:G30"/>
    </sheetView>
  </sheetViews>
  <sheetFormatPr defaultColWidth="9.140625" defaultRowHeight="12.75"/>
  <cols>
    <col min="1" max="1" width="7.7109375" style="2" customWidth="1"/>
    <col min="2" max="2" width="10.421875" style="2" customWidth="1"/>
    <col min="3" max="3" width="81.28125" style="2" customWidth="1"/>
    <col min="4" max="4" width="41.7109375" style="2" bestFit="1" customWidth="1"/>
    <col min="5" max="5" width="43.57421875" style="2" bestFit="1" customWidth="1"/>
    <col min="6" max="6" width="35.00390625" style="6" customWidth="1"/>
    <col min="7" max="7" width="14.7109375" style="6" customWidth="1"/>
    <col min="8" max="8" width="15.8515625" style="6"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spans="2:7" ht="15.75">
      <c r="B2" s="13" t="s">
        <v>869</v>
      </c>
      <c r="C2" s="22"/>
      <c r="D2" s="13"/>
      <c r="E2" s="13"/>
      <c r="F2" s="55"/>
      <c r="G2" s="55"/>
    </row>
    <row r="3" spans="2:8" s="13" customFormat="1" ht="15.75">
      <c r="B3" s="13" t="s">
        <v>862</v>
      </c>
      <c r="C3" s="22"/>
      <c r="D3" s="2"/>
      <c r="E3" s="2"/>
      <c r="F3" s="6"/>
      <c r="G3" s="6"/>
      <c r="H3" s="55"/>
    </row>
    <row r="4" spans="2:8" s="13" customFormat="1" ht="15.75">
      <c r="B4" s="2"/>
      <c r="C4" s="2"/>
      <c r="D4" s="2"/>
      <c r="E4" s="2"/>
      <c r="F4" s="6"/>
      <c r="G4" s="6"/>
      <c r="H4" s="55"/>
    </row>
    <row r="5" spans="2:7" ht="18.75">
      <c r="B5" s="672" t="s">
        <v>47</v>
      </c>
      <c r="C5" s="672"/>
      <c r="D5" s="672"/>
      <c r="E5" s="672"/>
      <c r="F5" s="672"/>
      <c r="G5" s="56"/>
    </row>
    <row r="6" spans="3:7" ht="19.5" thickBot="1">
      <c r="C6" s="18"/>
      <c r="D6" s="18"/>
      <c r="E6" s="18"/>
      <c r="F6" s="18"/>
      <c r="G6" s="17"/>
    </row>
    <row r="7" spans="2:8" ht="18.75">
      <c r="B7" s="673" t="s">
        <v>7</v>
      </c>
      <c r="C7" s="675" t="s">
        <v>189</v>
      </c>
      <c r="D7" s="677" t="s">
        <v>136</v>
      </c>
      <c r="E7" s="677" t="s">
        <v>135</v>
      </c>
      <c r="F7" s="679" t="s">
        <v>1467</v>
      </c>
      <c r="G7" s="54"/>
      <c r="H7" s="56"/>
    </row>
    <row r="8" spans="2:7" ht="16.5" customHeight="1" thickBot="1">
      <c r="B8" s="674"/>
      <c r="C8" s="676"/>
      <c r="D8" s="678"/>
      <c r="E8" s="678"/>
      <c r="F8" s="680"/>
      <c r="G8" s="53"/>
    </row>
    <row r="9" spans="2:18" ht="25.5" customHeight="1" thickBot="1">
      <c r="B9" s="598"/>
      <c r="C9" s="611" t="s">
        <v>1470</v>
      </c>
      <c r="D9" s="604">
        <v>144</v>
      </c>
      <c r="E9" s="604"/>
      <c r="F9" s="604">
        <v>4</v>
      </c>
      <c r="G9" s="87"/>
      <c r="H9" s="54"/>
      <c r="I9" s="664"/>
      <c r="J9" s="665"/>
      <c r="K9" s="664"/>
      <c r="L9" s="665"/>
      <c r="M9" s="664"/>
      <c r="N9" s="665"/>
      <c r="O9" s="664"/>
      <c r="P9" s="665"/>
      <c r="Q9" s="665"/>
      <c r="R9" s="665"/>
    </row>
    <row r="10" spans="2:18" ht="36.75" customHeight="1">
      <c r="B10" s="599" t="s">
        <v>68</v>
      </c>
      <c r="C10" s="89" t="s">
        <v>25</v>
      </c>
      <c r="D10" s="580"/>
      <c r="E10" s="602"/>
      <c r="F10" s="603"/>
      <c r="G10" s="66"/>
      <c r="H10" s="54"/>
      <c r="I10" s="664"/>
      <c r="J10" s="664"/>
      <c r="K10" s="664"/>
      <c r="L10" s="664"/>
      <c r="M10" s="664"/>
      <c r="N10" s="665"/>
      <c r="O10" s="664"/>
      <c r="P10" s="665"/>
      <c r="Q10" s="665"/>
      <c r="R10" s="665"/>
    </row>
    <row r="11" spans="2:18" s="64" customFormat="1" ht="20.25" customHeight="1">
      <c r="B11" s="599" t="s">
        <v>69</v>
      </c>
      <c r="C11" s="90" t="s">
        <v>1489</v>
      </c>
      <c r="D11" s="65">
        <v>11</v>
      </c>
      <c r="E11" s="63"/>
      <c r="F11" s="600"/>
      <c r="G11" s="66"/>
      <c r="H11" s="87"/>
      <c r="I11" s="88"/>
      <c r="J11" s="88"/>
      <c r="K11" s="88"/>
      <c r="L11" s="88"/>
      <c r="M11" s="88"/>
      <c r="N11" s="70"/>
      <c r="O11" s="88"/>
      <c r="P11" s="70"/>
      <c r="Q11" s="70"/>
      <c r="R11" s="70"/>
    </row>
    <row r="12" spans="2:18" s="64" customFormat="1" ht="18.75">
      <c r="B12" s="599" t="s">
        <v>70</v>
      </c>
      <c r="C12" s="90" t="s">
        <v>1490</v>
      </c>
      <c r="D12" s="65"/>
      <c r="E12" s="63"/>
      <c r="F12" s="600">
        <v>3</v>
      </c>
      <c r="G12" s="66"/>
      <c r="H12" s="66"/>
      <c r="I12" s="66"/>
      <c r="J12" s="66"/>
      <c r="K12" s="66"/>
      <c r="L12" s="66"/>
      <c r="M12" s="66"/>
      <c r="N12" s="66"/>
      <c r="O12" s="66"/>
      <c r="P12" s="66"/>
      <c r="Q12" s="66"/>
      <c r="R12" s="66"/>
    </row>
    <row r="13" spans="2:18" s="64" customFormat="1" ht="18.75">
      <c r="B13" s="599" t="s">
        <v>71</v>
      </c>
      <c r="C13" s="90"/>
      <c r="D13" s="65"/>
      <c r="E13" s="63"/>
      <c r="F13" s="600"/>
      <c r="G13" s="66"/>
      <c r="H13" s="66"/>
      <c r="I13" s="66"/>
      <c r="J13" s="66"/>
      <c r="K13" s="66"/>
      <c r="L13" s="66"/>
      <c r="M13" s="66"/>
      <c r="N13" s="66"/>
      <c r="O13" s="66"/>
      <c r="P13" s="66"/>
      <c r="Q13" s="66"/>
      <c r="R13" s="66"/>
    </row>
    <row r="14" spans="2:18" s="64" customFormat="1" ht="18.75">
      <c r="B14" s="599" t="s">
        <v>72</v>
      </c>
      <c r="C14" s="90"/>
      <c r="D14" s="65"/>
      <c r="E14" s="63"/>
      <c r="F14" s="600"/>
      <c r="G14" s="66"/>
      <c r="H14" s="66"/>
      <c r="I14" s="66"/>
      <c r="J14" s="66"/>
      <c r="K14" s="66"/>
      <c r="L14" s="66"/>
      <c r="M14" s="66"/>
      <c r="N14" s="66"/>
      <c r="O14" s="66"/>
      <c r="P14" s="66"/>
      <c r="Q14" s="66"/>
      <c r="R14" s="66"/>
    </row>
    <row r="15" spans="2:18" s="64" customFormat="1" ht="18.75">
      <c r="B15" s="75"/>
      <c r="C15" s="90"/>
      <c r="D15" s="65"/>
      <c r="E15" s="63"/>
      <c r="F15" s="600"/>
      <c r="G15" s="66"/>
      <c r="H15" s="66"/>
      <c r="I15" s="66"/>
      <c r="J15" s="66"/>
      <c r="K15" s="66"/>
      <c r="L15" s="66"/>
      <c r="M15" s="66"/>
      <c r="N15" s="66"/>
      <c r="O15" s="66"/>
      <c r="P15" s="66"/>
      <c r="Q15" s="66"/>
      <c r="R15" s="66"/>
    </row>
    <row r="16" spans="2:18" s="64" customFormat="1" ht="18.75">
      <c r="B16" s="599" t="s">
        <v>73</v>
      </c>
      <c r="C16" s="89" t="s">
        <v>26</v>
      </c>
      <c r="D16" s="65"/>
      <c r="E16" s="63"/>
      <c r="F16" s="600"/>
      <c r="G16" s="66"/>
      <c r="H16" s="66"/>
      <c r="I16" s="66"/>
      <c r="J16" s="66"/>
      <c r="K16" s="66"/>
      <c r="L16" s="66"/>
      <c r="M16" s="66"/>
      <c r="N16" s="66"/>
      <c r="O16" s="66"/>
      <c r="P16" s="66"/>
      <c r="Q16" s="66"/>
      <c r="R16" s="66"/>
    </row>
    <row r="17" spans="2:18" s="64" customFormat="1" ht="19.5" customHeight="1">
      <c r="B17" s="599" t="s">
        <v>74</v>
      </c>
      <c r="C17" s="62" t="s">
        <v>1491</v>
      </c>
      <c r="D17" s="65"/>
      <c r="E17" s="63"/>
      <c r="F17" s="600">
        <v>8</v>
      </c>
      <c r="G17" s="66"/>
      <c r="H17" s="66"/>
      <c r="I17" s="66"/>
      <c r="J17" s="66"/>
      <c r="K17" s="66"/>
      <c r="L17" s="66"/>
      <c r="M17" s="66"/>
      <c r="N17" s="66"/>
      <c r="O17" s="66"/>
      <c r="P17" s="66"/>
      <c r="Q17" s="66"/>
      <c r="R17" s="66"/>
    </row>
    <row r="18" spans="2:18" s="64" customFormat="1" ht="18.75">
      <c r="B18" s="599" t="s">
        <v>75</v>
      </c>
      <c r="C18" s="62"/>
      <c r="D18" s="65"/>
      <c r="E18" s="63"/>
      <c r="F18" s="600"/>
      <c r="G18" s="66"/>
      <c r="H18" s="66"/>
      <c r="I18" s="66"/>
      <c r="J18" s="66"/>
      <c r="K18" s="66"/>
      <c r="L18" s="66"/>
      <c r="M18" s="66"/>
      <c r="N18" s="66"/>
      <c r="O18" s="66"/>
      <c r="P18" s="66"/>
      <c r="Q18" s="66"/>
      <c r="R18" s="66"/>
    </row>
    <row r="19" spans="2:18" s="64" customFormat="1" ht="19.5" thickBot="1">
      <c r="B19" s="605" t="s">
        <v>76</v>
      </c>
      <c r="C19" s="606"/>
      <c r="D19" s="607"/>
      <c r="E19" s="608"/>
      <c r="F19" s="609"/>
      <c r="G19" s="66"/>
      <c r="H19" s="66"/>
      <c r="I19" s="66"/>
      <c r="J19" s="66"/>
      <c r="K19" s="66"/>
      <c r="L19" s="66"/>
      <c r="M19" s="66"/>
      <c r="N19" s="66"/>
      <c r="O19" s="66"/>
      <c r="P19" s="66"/>
      <c r="Q19" s="66"/>
      <c r="R19" s="66"/>
    </row>
    <row r="20" spans="2:18" s="64" customFormat="1" ht="19.5" thickBot="1">
      <c r="B20" s="610"/>
      <c r="C20" s="611" t="s">
        <v>1484</v>
      </c>
      <c r="D20" s="612">
        <f>D9-D11</f>
        <v>133</v>
      </c>
      <c r="E20" s="613"/>
      <c r="F20" s="612">
        <f>+F9-F12+F17</f>
        <v>9</v>
      </c>
      <c r="G20" s="91"/>
      <c r="H20" s="66"/>
      <c r="I20" s="66"/>
      <c r="J20" s="66"/>
      <c r="K20" s="66"/>
      <c r="L20" s="66"/>
      <c r="M20" s="66"/>
      <c r="N20" s="66"/>
      <c r="O20" s="66"/>
      <c r="P20" s="66"/>
      <c r="Q20" s="66"/>
      <c r="R20" s="66"/>
    </row>
    <row r="21" spans="2:18" s="64" customFormat="1" ht="18.75">
      <c r="B21" s="92"/>
      <c r="C21" s="93"/>
      <c r="D21" s="66"/>
      <c r="E21" s="66"/>
      <c r="F21" s="66"/>
      <c r="G21" s="66"/>
      <c r="H21" s="66"/>
      <c r="I21" s="66"/>
      <c r="J21" s="66"/>
      <c r="K21" s="66"/>
      <c r="L21" s="66"/>
      <c r="M21" s="66"/>
      <c r="N21" s="66"/>
      <c r="O21" s="66"/>
      <c r="P21" s="66"/>
      <c r="Q21" s="66"/>
      <c r="R21" s="66"/>
    </row>
    <row r="22" spans="2:18" s="49" customFormat="1" ht="36.75" customHeight="1">
      <c r="B22" s="64"/>
      <c r="C22" s="64"/>
      <c r="D22" s="64"/>
      <c r="E22" s="64"/>
      <c r="F22" s="66"/>
      <c r="G22" s="66"/>
      <c r="H22" s="91"/>
      <c r="I22" s="91"/>
      <c r="J22" s="91"/>
      <c r="K22" s="91"/>
      <c r="L22" s="91"/>
      <c r="M22" s="91"/>
      <c r="N22" s="91"/>
      <c r="O22" s="91"/>
      <c r="P22" s="91"/>
      <c r="Q22" s="91"/>
      <c r="R22" s="91"/>
    </row>
    <row r="23" spans="3:18" s="64" customFormat="1" ht="18.75">
      <c r="C23" s="64" t="s">
        <v>1468</v>
      </c>
      <c r="F23" s="66"/>
      <c r="G23" s="66"/>
      <c r="H23" s="66"/>
      <c r="I23" s="66"/>
      <c r="J23" s="66"/>
      <c r="K23" s="66"/>
      <c r="L23" s="66"/>
      <c r="M23" s="66"/>
      <c r="N23" s="66"/>
      <c r="O23" s="66"/>
      <c r="P23" s="66"/>
      <c r="Q23" s="66"/>
      <c r="R23" s="66"/>
    </row>
    <row r="24" spans="3:18" s="64" customFormat="1" ht="18.75">
      <c r="C24" s="64" t="s">
        <v>1469</v>
      </c>
      <c r="F24" s="66"/>
      <c r="G24" s="66"/>
      <c r="H24" s="66"/>
      <c r="I24" s="66"/>
      <c r="J24" s="66"/>
      <c r="K24" s="66"/>
      <c r="L24" s="66"/>
      <c r="M24" s="66"/>
      <c r="N24" s="66"/>
      <c r="O24" s="66"/>
      <c r="P24" s="66"/>
      <c r="Q24" s="66"/>
      <c r="R24" s="66"/>
    </row>
    <row r="25" spans="3:18" s="64" customFormat="1" ht="18.75">
      <c r="C25" s="601" t="s">
        <v>1474</v>
      </c>
      <c r="D25" s="601"/>
      <c r="E25" s="601"/>
      <c r="F25" s="66"/>
      <c r="G25" s="66"/>
      <c r="H25" s="66"/>
      <c r="I25" s="66"/>
      <c r="J25" s="66"/>
      <c r="K25" s="66"/>
      <c r="L25" s="66"/>
      <c r="M25" s="66"/>
      <c r="N25" s="66"/>
      <c r="O25" s="66"/>
      <c r="P25" s="66"/>
      <c r="Q25" s="66"/>
      <c r="R25" s="66"/>
    </row>
    <row r="26" spans="2:18" s="64" customFormat="1" ht="18.75">
      <c r="B26" s="64" t="s">
        <v>190</v>
      </c>
      <c r="C26" s="67" t="s">
        <v>1497</v>
      </c>
      <c r="D26" s="68" t="s">
        <v>64</v>
      </c>
      <c r="E26" s="67" t="s">
        <v>878</v>
      </c>
      <c r="F26" s="212"/>
      <c r="G26" s="213"/>
      <c r="H26" s="152"/>
      <c r="I26" s="66"/>
      <c r="J26" s="66"/>
      <c r="K26" s="66"/>
      <c r="L26" s="66"/>
      <c r="M26" s="66"/>
      <c r="N26" s="66"/>
      <c r="O26" s="66"/>
      <c r="P26" s="66"/>
      <c r="Q26" s="66"/>
      <c r="R26" s="66"/>
    </row>
    <row r="27" spans="5:18" ht="15.75">
      <c r="E27" s="192"/>
      <c r="F27" s="192"/>
      <c r="G27" s="192"/>
      <c r="I27" s="6"/>
      <c r="J27" s="6"/>
      <c r="K27" s="6"/>
      <c r="L27" s="6"/>
      <c r="M27" s="6"/>
      <c r="N27" s="6"/>
      <c r="O27" s="6"/>
      <c r="P27" s="6"/>
      <c r="Q27" s="6"/>
      <c r="R27" s="6"/>
    </row>
    <row r="29" spans="5:18" ht="15.75">
      <c r="E29" s="192"/>
      <c r="F29" s="628" t="s">
        <v>879</v>
      </c>
      <c r="G29" s="628"/>
      <c r="I29" s="6"/>
      <c r="J29" s="6"/>
      <c r="K29" s="6"/>
      <c r="L29" s="6"/>
      <c r="M29" s="6"/>
      <c r="N29" s="6"/>
      <c r="O29" s="6"/>
      <c r="P29" s="6"/>
      <c r="Q29" s="6"/>
      <c r="R29" s="6"/>
    </row>
  </sheetData>
  <sheetProtection/>
  <mergeCells count="17">
    <mergeCell ref="F29:G29"/>
    <mergeCell ref="R9:R10"/>
    <mergeCell ref="K9:K10"/>
    <mergeCell ref="L9:L10"/>
    <mergeCell ref="M9:M10"/>
    <mergeCell ref="N9:N10"/>
    <mergeCell ref="Q9:Q10"/>
    <mergeCell ref="O9:O10"/>
    <mergeCell ref="P9:P10"/>
    <mergeCell ref="I9:I10"/>
    <mergeCell ref="J9:J10"/>
    <mergeCell ref="B5:F5"/>
    <mergeCell ref="B7:B8"/>
    <mergeCell ref="C7:C8"/>
    <mergeCell ref="D7:D8"/>
    <mergeCell ref="E7:E8"/>
    <mergeCell ref="F7:F8"/>
  </mergeCells>
  <printOptions/>
  <pageMargins left="0.47" right="0.38" top="1" bottom="1" header="0.5" footer="0.5"/>
  <pageSetup fitToHeight="1" fitToWidth="1" horizontalDpi="600" verticalDpi="600" orientation="landscape" scale="58"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Q723"/>
  <sheetViews>
    <sheetView view="pageBreakPreview" zoomScale="70" zoomScaleNormal="75" zoomScaleSheetLayoutView="70" zoomScalePageLayoutView="0" workbookViewId="0" topLeftCell="A366">
      <selection activeCell="B373" sqref="B373:P417"/>
    </sheetView>
  </sheetViews>
  <sheetFormatPr defaultColWidth="9.140625" defaultRowHeight="12.75"/>
  <cols>
    <col min="1" max="1" width="9.140625" style="2" customWidth="1"/>
    <col min="2" max="2" width="32.7109375" style="32" customWidth="1"/>
    <col min="3" max="3" width="25.421875" style="32" customWidth="1"/>
    <col min="4" max="4" width="30.140625" style="42" customWidth="1"/>
    <col min="5" max="5" width="28.57421875" style="42" customWidth="1"/>
    <col min="6" max="6" width="49.7109375" style="32" customWidth="1"/>
    <col min="7" max="7" width="15.8515625" style="221" hidden="1" customWidth="1"/>
    <col min="8" max="8" width="17.00390625" style="221" customWidth="1"/>
    <col min="9" max="9" width="12.8515625" style="221" customWidth="1"/>
    <col min="10" max="10" width="19.8515625" style="221" bestFit="1" customWidth="1"/>
    <col min="11" max="11" width="13.28125" style="499" bestFit="1" customWidth="1"/>
    <col min="12" max="12" width="15.57421875" style="499" customWidth="1"/>
    <col min="13" max="16384" width="9.140625" style="2" customWidth="1"/>
  </cols>
  <sheetData>
    <row r="1" spans="2:17" ht="15.75">
      <c r="B1" s="22"/>
      <c r="C1" s="387" t="s">
        <v>1340</v>
      </c>
      <c r="D1" s="381"/>
      <c r="E1" s="381"/>
      <c r="F1" s="388"/>
      <c r="G1" s="381"/>
      <c r="H1" s="381"/>
      <c r="I1" s="381"/>
      <c r="J1" s="716" t="s">
        <v>1377</v>
      </c>
      <c r="K1" s="716"/>
      <c r="L1" s="716"/>
      <c r="M1" s="716"/>
      <c r="N1" s="715"/>
      <c r="O1" s="715"/>
      <c r="P1" s="715"/>
      <c r="Q1" s="715"/>
    </row>
    <row r="2" spans="3:12" ht="15.75">
      <c r="C2" s="685" t="s">
        <v>1375</v>
      </c>
      <c r="D2" s="685"/>
      <c r="E2" s="685"/>
      <c r="F2" s="685"/>
      <c r="G2" s="685"/>
      <c r="H2" s="685"/>
      <c r="I2" s="685"/>
      <c r="J2" s="685"/>
      <c r="K2" s="685"/>
      <c r="L2" s="32"/>
    </row>
    <row r="3" spans="3:12" ht="106.5" customHeight="1" thickBot="1">
      <c r="C3" s="686"/>
      <c r="D3" s="686"/>
      <c r="E3" s="686"/>
      <c r="F3" s="686"/>
      <c r="G3" s="686"/>
      <c r="H3" s="686"/>
      <c r="I3" s="686"/>
      <c r="J3" s="686"/>
      <c r="K3" s="686"/>
      <c r="L3" s="32"/>
    </row>
    <row r="4" spans="2:12" ht="66" customHeight="1" thickBot="1" thickTop="1">
      <c r="B4" s="687" t="s">
        <v>882</v>
      </c>
      <c r="C4" s="688"/>
      <c r="D4" s="222" t="s">
        <v>883</v>
      </c>
      <c r="E4" s="223" t="s">
        <v>884</v>
      </c>
      <c r="F4" s="224" t="s">
        <v>885</v>
      </c>
      <c r="G4" s="225" t="s">
        <v>886</v>
      </c>
      <c r="H4" s="389" t="s">
        <v>887</v>
      </c>
      <c r="I4" s="390" t="s">
        <v>888</v>
      </c>
      <c r="J4" s="391" t="s">
        <v>889</v>
      </c>
      <c r="K4" s="392" t="s">
        <v>890</v>
      </c>
      <c r="L4" s="393" t="s">
        <v>891</v>
      </c>
    </row>
    <row r="5" spans="2:12" ht="15.75">
      <c r="B5" s="394"/>
      <c r="C5" s="226"/>
      <c r="D5" s="227"/>
      <c r="E5" s="228"/>
      <c r="F5" s="229"/>
      <c r="G5" s="230"/>
      <c r="H5" s="231"/>
      <c r="I5" s="232"/>
      <c r="J5" s="226"/>
      <c r="K5" s="395"/>
      <c r="L5" s="396">
        <v>1.2</v>
      </c>
    </row>
    <row r="6" spans="2:12" ht="42" customHeight="1" thickBot="1">
      <c r="B6" s="681" t="s">
        <v>892</v>
      </c>
      <c r="C6" s="682"/>
      <c r="D6" s="233"/>
      <c r="E6" s="234"/>
      <c r="F6" s="235" t="s">
        <v>893</v>
      </c>
      <c r="G6" s="397"/>
      <c r="H6" s="398"/>
      <c r="I6" s="399"/>
      <c r="J6" s="400"/>
      <c r="K6" s="401"/>
      <c r="L6" s="402"/>
    </row>
    <row r="7" spans="2:12" ht="15.75">
      <c r="B7" s="403"/>
      <c r="C7" s="404"/>
      <c r="D7" s="236"/>
      <c r="E7" s="237"/>
      <c r="F7" s="238"/>
      <c r="G7" s="405"/>
      <c r="H7" s="406"/>
      <c r="I7" s="407"/>
      <c r="J7" s="408"/>
      <c r="K7" s="409"/>
      <c r="L7" s="410"/>
    </row>
    <row r="8" spans="2:12" ht="15.75">
      <c r="B8" s="239" t="str">
        <f>+B6</f>
        <v>А .</v>
      </c>
      <c r="C8" s="240" t="s">
        <v>894</v>
      </c>
      <c r="D8" s="241" t="s">
        <v>895</v>
      </c>
      <c r="E8" s="242" t="s">
        <v>896</v>
      </c>
      <c r="F8" s="243" t="s">
        <v>614</v>
      </c>
      <c r="G8" s="244" t="s">
        <v>897</v>
      </c>
      <c r="H8" s="411">
        <f>+K8-J8</f>
        <v>220.23406</v>
      </c>
      <c r="I8" s="412">
        <v>0</v>
      </c>
      <c r="J8" s="413">
        <f>560.78*0.123</f>
        <v>68.97594</v>
      </c>
      <c r="K8" s="245">
        <v>289.21</v>
      </c>
      <c r="L8" s="246">
        <f>+$K8*$L$5</f>
        <v>347.05199999999996</v>
      </c>
    </row>
    <row r="9" spans="2:12" ht="15.75">
      <c r="B9" s="239" t="str">
        <f>+B8</f>
        <v>А .</v>
      </c>
      <c r="C9" s="240" t="s">
        <v>898</v>
      </c>
      <c r="D9" s="241" t="s">
        <v>899</v>
      </c>
      <c r="E9" s="242" t="s">
        <v>900</v>
      </c>
      <c r="F9" s="243" t="s">
        <v>615</v>
      </c>
      <c r="G9" s="247" t="s">
        <v>901</v>
      </c>
      <c r="H9" s="414">
        <f>0.05*0.5*0.5*2300*2*2</f>
        <v>115</v>
      </c>
      <c r="I9" s="412">
        <v>0</v>
      </c>
      <c r="J9" s="413">
        <f>+J12*2</f>
        <v>296.22</v>
      </c>
      <c r="K9" s="245">
        <v>411.22</v>
      </c>
      <c r="L9" s="246">
        <f aca="true" t="shared" si="0" ref="L9:L20">+$K9*$L$5</f>
        <v>493.464</v>
      </c>
    </row>
    <row r="10" spans="2:12" ht="15.75" customHeight="1">
      <c r="B10" s="239" t="str">
        <f aca="true" t="shared" si="1" ref="B10:B20">+B9</f>
        <v>А .</v>
      </c>
      <c r="C10" s="240" t="s">
        <v>902</v>
      </c>
      <c r="D10" s="241" t="s">
        <v>903</v>
      </c>
      <c r="E10" s="248" t="s">
        <v>904</v>
      </c>
      <c r="F10" s="243" t="s">
        <v>616</v>
      </c>
      <c r="G10" s="247" t="s">
        <v>901</v>
      </c>
      <c r="H10" s="414">
        <v>755</v>
      </c>
      <c r="I10" s="412">
        <v>0</v>
      </c>
      <c r="J10" s="413">
        <f>+K10-(H10+I10)</f>
        <v>808.5799999999999</v>
      </c>
      <c r="K10" s="245">
        <v>1563.58</v>
      </c>
      <c r="L10" s="246">
        <f t="shared" si="0"/>
        <v>1876.2959999999998</v>
      </c>
    </row>
    <row r="11" spans="2:12" ht="16.5" customHeight="1">
      <c r="B11" s="239" t="str">
        <f t="shared" si="1"/>
        <v>А .</v>
      </c>
      <c r="C11" s="240" t="s">
        <v>905</v>
      </c>
      <c r="D11" s="241" t="s">
        <v>906</v>
      </c>
      <c r="E11" s="242" t="s">
        <v>907</v>
      </c>
      <c r="F11" s="243" t="s">
        <v>617</v>
      </c>
      <c r="G11" s="247" t="s">
        <v>908</v>
      </c>
      <c r="H11" s="414">
        <f>0.05*0.5*0.5*2300</f>
        <v>28.75</v>
      </c>
      <c r="I11" s="412">
        <v>0</v>
      </c>
      <c r="J11" s="413">
        <f>+K11-(H11+I11)</f>
        <v>77.64</v>
      </c>
      <c r="K11" s="245">
        <v>106.39</v>
      </c>
      <c r="L11" s="246">
        <f t="shared" si="0"/>
        <v>127.66799999999999</v>
      </c>
    </row>
    <row r="12" spans="2:12" ht="32.25" customHeight="1">
      <c r="B12" s="239" t="str">
        <f t="shared" si="1"/>
        <v>А .</v>
      </c>
      <c r="C12" s="240" t="s">
        <v>909</v>
      </c>
      <c r="D12" s="241" t="s">
        <v>910</v>
      </c>
      <c r="E12" s="242" t="s">
        <v>911</v>
      </c>
      <c r="F12" s="243" t="s">
        <v>618</v>
      </c>
      <c r="G12" s="247" t="s">
        <v>908</v>
      </c>
      <c r="H12" s="414">
        <f>0.05*0.5*0.5*2300*2</f>
        <v>57.5</v>
      </c>
      <c r="I12" s="412">
        <v>0</v>
      </c>
      <c r="J12" s="413">
        <f>+K12-(H12+I12)</f>
        <v>148.11</v>
      </c>
      <c r="K12" s="245">
        <v>205.61</v>
      </c>
      <c r="L12" s="246">
        <f t="shared" si="0"/>
        <v>246.732</v>
      </c>
    </row>
    <row r="13" spans="2:12" ht="15.75">
      <c r="B13" s="239" t="str">
        <f t="shared" si="1"/>
        <v>А .</v>
      </c>
      <c r="C13" s="240" t="s">
        <v>912</v>
      </c>
      <c r="D13" s="249" t="s">
        <v>913</v>
      </c>
      <c r="E13" s="250"/>
      <c r="F13" s="251" t="s">
        <v>619</v>
      </c>
      <c r="G13" s="244" t="s">
        <v>897</v>
      </c>
      <c r="H13" s="414">
        <v>110</v>
      </c>
      <c r="I13" s="415">
        <f>+H13*0.1</f>
        <v>11</v>
      </c>
      <c r="J13" s="413">
        <f>+K13-(H13+I13)</f>
        <v>179</v>
      </c>
      <c r="K13" s="252">
        <v>300</v>
      </c>
      <c r="L13" s="253">
        <f t="shared" si="0"/>
        <v>360</v>
      </c>
    </row>
    <row r="14" spans="2:12" ht="15.75">
      <c r="B14" s="239" t="str">
        <f t="shared" si="1"/>
        <v>А .</v>
      </c>
      <c r="C14" s="240" t="s">
        <v>914</v>
      </c>
      <c r="D14" s="249" t="s">
        <v>915</v>
      </c>
      <c r="E14" s="250"/>
      <c r="F14" s="251" t="s">
        <v>620</v>
      </c>
      <c r="G14" s="244" t="s">
        <v>897</v>
      </c>
      <c r="H14" s="414">
        <f>+(K14-J14)*0.9</f>
        <v>153.9</v>
      </c>
      <c r="I14" s="415">
        <f>+K14-(H14+J14)</f>
        <v>17.100000000000023</v>
      </c>
      <c r="J14" s="413">
        <v>179</v>
      </c>
      <c r="K14" s="252">
        <v>350</v>
      </c>
      <c r="L14" s="253">
        <f t="shared" si="0"/>
        <v>420</v>
      </c>
    </row>
    <row r="15" spans="2:12" ht="15.75">
      <c r="B15" s="239" t="str">
        <f t="shared" si="1"/>
        <v>А .</v>
      </c>
      <c r="C15" s="240" t="s">
        <v>916</v>
      </c>
      <c r="D15" s="249" t="s">
        <v>917</v>
      </c>
      <c r="E15" s="250"/>
      <c r="F15" s="251" t="s">
        <v>621</v>
      </c>
      <c r="G15" s="244" t="s">
        <v>897</v>
      </c>
      <c r="H15" s="414">
        <f>+(K15-J15)*0.9</f>
        <v>270.90000000000003</v>
      </c>
      <c r="I15" s="415">
        <f>+K15-(H15+J15)</f>
        <v>30.099999999999966</v>
      </c>
      <c r="J15" s="413">
        <v>179</v>
      </c>
      <c r="K15" s="252">
        <v>480</v>
      </c>
      <c r="L15" s="253">
        <f t="shared" si="0"/>
        <v>576</v>
      </c>
    </row>
    <row r="16" spans="2:12" ht="15.75">
      <c r="B16" s="239" t="str">
        <f t="shared" si="1"/>
        <v>А .</v>
      </c>
      <c r="C16" s="240" t="s">
        <v>918</v>
      </c>
      <c r="D16" s="249" t="s">
        <v>919</v>
      </c>
      <c r="E16" s="250"/>
      <c r="F16" s="251" t="s">
        <v>622</v>
      </c>
      <c r="G16" s="244" t="s">
        <v>897</v>
      </c>
      <c r="H16" s="414">
        <f>+(K16-J16)*0.9</f>
        <v>423.90000000000003</v>
      </c>
      <c r="I16" s="415">
        <f>+K16-(H16+J16)</f>
        <v>47.09999999999991</v>
      </c>
      <c r="J16" s="413">
        <v>179</v>
      </c>
      <c r="K16" s="252">
        <v>650</v>
      </c>
      <c r="L16" s="253">
        <f t="shared" si="0"/>
        <v>780</v>
      </c>
    </row>
    <row r="17" spans="2:12" ht="15.75">
      <c r="B17" s="239" t="str">
        <f t="shared" si="1"/>
        <v>А .</v>
      </c>
      <c r="C17" s="240" t="s">
        <v>920</v>
      </c>
      <c r="D17" s="249"/>
      <c r="E17" s="250"/>
      <c r="F17" s="254" t="s">
        <v>623</v>
      </c>
      <c r="G17" s="247" t="s">
        <v>908</v>
      </c>
      <c r="H17" s="414">
        <v>18000</v>
      </c>
      <c r="I17" s="415">
        <v>1800</v>
      </c>
      <c r="J17" s="413">
        <f>+K17-(H17+I17)</f>
        <v>2145</v>
      </c>
      <c r="K17" s="252">
        <v>21945</v>
      </c>
      <c r="L17" s="253">
        <f t="shared" si="0"/>
        <v>26334</v>
      </c>
    </row>
    <row r="18" spans="2:12" ht="15.75">
      <c r="B18" s="239" t="str">
        <f t="shared" si="1"/>
        <v>А .</v>
      </c>
      <c r="C18" s="240" t="s">
        <v>921</v>
      </c>
      <c r="D18" s="249"/>
      <c r="E18" s="250"/>
      <c r="F18" s="254" t="s">
        <v>624</v>
      </c>
      <c r="G18" s="247" t="s">
        <v>922</v>
      </c>
      <c r="H18" s="414">
        <v>0</v>
      </c>
      <c r="I18" s="415">
        <v>0</v>
      </c>
      <c r="J18" s="413">
        <f>+K18-(H18+I18)</f>
        <v>110</v>
      </c>
      <c r="K18" s="252">
        <v>110</v>
      </c>
      <c r="L18" s="253">
        <f t="shared" si="0"/>
        <v>132</v>
      </c>
    </row>
    <row r="19" spans="2:12" ht="15.75">
      <c r="B19" s="239" t="str">
        <f t="shared" si="1"/>
        <v>А .</v>
      </c>
      <c r="C19" s="240" t="s">
        <v>923</v>
      </c>
      <c r="D19" s="249"/>
      <c r="E19" s="250"/>
      <c r="F19" s="254" t="s">
        <v>625</v>
      </c>
      <c r="G19" s="247" t="s">
        <v>901</v>
      </c>
      <c r="H19" s="414">
        <v>0</v>
      </c>
      <c r="I19" s="415">
        <v>0</v>
      </c>
      <c r="J19" s="413">
        <f>+K19-(H19+I19)</f>
        <v>150</v>
      </c>
      <c r="K19" s="252">
        <v>150</v>
      </c>
      <c r="L19" s="253">
        <f t="shared" si="0"/>
        <v>180</v>
      </c>
    </row>
    <row r="20" spans="2:12" ht="15.75">
      <c r="B20" s="239" t="str">
        <f t="shared" si="1"/>
        <v>А .</v>
      </c>
      <c r="C20" s="240" t="s">
        <v>924</v>
      </c>
      <c r="D20" s="249"/>
      <c r="E20" s="250" t="s">
        <v>925</v>
      </c>
      <c r="F20" s="254" t="s">
        <v>626</v>
      </c>
      <c r="G20" s="247" t="s">
        <v>908</v>
      </c>
      <c r="H20" s="414">
        <v>0</v>
      </c>
      <c r="I20" s="415">
        <v>0</v>
      </c>
      <c r="J20" s="413">
        <f>+K20-(H20+I20)</f>
        <v>76530.3</v>
      </c>
      <c r="K20" s="252">
        <v>76530.3</v>
      </c>
      <c r="L20" s="253">
        <f t="shared" si="0"/>
        <v>91836.36</v>
      </c>
    </row>
    <row r="21" spans="2:12" ht="15.75">
      <c r="B21" s="416"/>
      <c r="C21" s="255"/>
      <c r="D21" s="256"/>
      <c r="E21" s="257"/>
      <c r="F21" s="258"/>
      <c r="G21" s="259"/>
      <c r="H21" s="417"/>
      <c r="I21" s="418"/>
      <c r="J21" s="419"/>
      <c r="K21" s="260"/>
      <c r="L21" s="261"/>
    </row>
    <row r="22" spans="2:12" ht="16.5" thickBot="1">
      <c r="B22" s="681" t="s">
        <v>926</v>
      </c>
      <c r="C22" s="682"/>
      <c r="D22" s="233"/>
      <c r="E22" s="234"/>
      <c r="F22" s="235" t="s">
        <v>927</v>
      </c>
      <c r="G22" s="397"/>
      <c r="H22" s="420"/>
      <c r="I22" s="421"/>
      <c r="J22" s="422"/>
      <c r="K22" s="262"/>
      <c r="L22" s="263"/>
    </row>
    <row r="23" spans="2:12" ht="15.75">
      <c r="B23" s="403"/>
      <c r="C23" s="423"/>
      <c r="D23" s="264"/>
      <c r="E23" s="265"/>
      <c r="F23" s="266"/>
      <c r="G23" s="424"/>
      <c r="H23" s="425"/>
      <c r="I23" s="426"/>
      <c r="J23" s="427"/>
      <c r="K23" s="267"/>
      <c r="L23" s="268"/>
    </row>
    <row r="24" spans="2:12" ht="47.25">
      <c r="B24" s="239" t="str">
        <f>+B22</f>
        <v>В .</v>
      </c>
      <c r="C24" s="240" t="s">
        <v>894</v>
      </c>
      <c r="D24" s="241" t="s">
        <v>928</v>
      </c>
      <c r="E24" s="242" t="s">
        <v>929</v>
      </c>
      <c r="F24" s="269" t="s">
        <v>627</v>
      </c>
      <c r="G24" s="247" t="s">
        <v>930</v>
      </c>
      <c r="H24" s="414">
        <v>0</v>
      </c>
      <c r="I24" s="415">
        <v>0</v>
      </c>
      <c r="J24" s="413">
        <f aca="true" t="shared" si="2" ref="J24:J62">+K24-(H24+I24)</f>
        <v>911.51</v>
      </c>
      <c r="K24" s="270">
        <v>911.51</v>
      </c>
      <c r="L24" s="271">
        <f aca="true" t="shared" si="3" ref="L24:L64">+$K24*$L$5</f>
        <v>1093.812</v>
      </c>
    </row>
    <row r="25" spans="2:12" ht="47.25">
      <c r="B25" s="239" t="str">
        <f>+B24</f>
        <v>В .</v>
      </c>
      <c r="C25" s="240" t="s">
        <v>898</v>
      </c>
      <c r="D25" s="241" t="s">
        <v>931</v>
      </c>
      <c r="E25" s="242" t="s">
        <v>932</v>
      </c>
      <c r="F25" s="269" t="s">
        <v>628</v>
      </c>
      <c r="G25" s="247" t="s">
        <v>930</v>
      </c>
      <c r="H25" s="414">
        <v>0</v>
      </c>
      <c r="I25" s="415">
        <v>0</v>
      </c>
      <c r="J25" s="413">
        <f t="shared" si="2"/>
        <v>1184.96</v>
      </c>
      <c r="K25" s="270">
        <v>1184.96</v>
      </c>
      <c r="L25" s="271">
        <f t="shared" si="3"/>
        <v>1421.952</v>
      </c>
    </row>
    <row r="26" spans="2:12" ht="47.25">
      <c r="B26" s="239" t="str">
        <f aca="true" t="shared" si="4" ref="B26:B64">+B24</f>
        <v>В .</v>
      </c>
      <c r="C26" s="240" t="s">
        <v>902</v>
      </c>
      <c r="D26" s="241" t="s">
        <v>933</v>
      </c>
      <c r="E26" s="242" t="s">
        <v>934</v>
      </c>
      <c r="F26" s="269" t="s">
        <v>629</v>
      </c>
      <c r="G26" s="247" t="s">
        <v>930</v>
      </c>
      <c r="H26" s="414">
        <v>0</v>
      </c>
      <c r="I26" s="415">
        <v>0</v>
      </c>
      <c r="J26" s="413">
        <f t="shared" si="2"/>
        <v>1403.74</v>
      </c>
      <c r="K26" s="270">
        <v>1403.74</v>
      </c>
      <c r="L26" s="271">
        <f t="shared" si="3"/>
        <v>1684.488</v>
      </c>
    </row>
    <row r="27" spans="2:12" ht="47.25">
      <c r="B27" s="239" t="str">
        <f t="shared" si="4"/>
        <v>В .</v>
      </c>
      <c r="C27" s="240" t="s">
        <v>905</v>
      </c>
      <c r="D27" s="241" t="s">
        <v>935</v>
      </c>
      <c r="E27" s="242" t="s">
        <v>936</v>
      </c>
      <c r="F27" s="269" t="s">
        <v>630</v>
      </c>
      <c r="G27" s="247" t="s">
        <v>930</v>
      </c>
      <c r="H27" s="414">
        <v>0</v>
      </c>
      <c r="I27" s="415">
        <v>0</v>
      </c>
      <c r="J27" s="413">
        <f t="shared" si="2"/>
        <v>1231.77</v>
      </c>
      <c r="K27" s="270">
        <v>1231.77</v>
      </c>
      <c r="L27" s="271">
        <f t="shared" si="3"/>
        <v>1478.124</v>
      </c>
    </row>
    <row r="28" spans="2:12" ht="47.25">
      <c r="B28" s="239" t="str">
        <f t="shared" si="4"/>
        <v>В .</v>
      </c>
      <c r="C28" s="240" t="s">
        <v>909</v>
      </c>
      <c r="D28" s="241" t="s">
        <v>937</v>
      </c>
      <c r="E28" s="242" t="s">
        <v>938</v>
      </c>
      <c r="F28" s="269" t="s">
        <v>631</v>
      </c>
      <c r="G28" s="247" t="s">
        <v>930</v>
      </c>
      <c r="H28" s="414">
        <v>0</v>
      </c>
      <c r="I28" s="415">
        <v>0</v>
      </c>
      <c r="J28" s="413">
        <f t="shared" si="2"/>
        <v>1601.3</v>
      </c>
      <c r="K28" s="270">
        <v>1601.3</v>
      </c>
      <c r="L28" s="271">
        <f t="shared" si="3"/>
        <v>1921.56</v>
      </c>
    </row>
    <row r="29" spans="2:12" ht="47.25">
      <c r="B29" s="239" t="str">
        <f t="shared" si="4"/>
        <v>В .</v>
      </c>
      <c r="C29" s="240" t="s">
        <v>912</v>
      </c>
      <c r="D29" s="241" t="s">
        <v>939</v>
      </c>
      <c r="E29" s="242" t="s">
        <v>940</v>
      </c>
      <c r="F29" s="269" t="s">
        <v>632</v>
      </c>
      <c r="G29" s="247" t="s">
        <v>930</v>
      </c>
      <c r="H29" s="414">
        <v>0</v>
      </c>
      <c r="I29" s="415">
        <v>0</v>
      </c>
      <c r="J29" s="413">
        <f t="shared" si="2"/>
        <v>1896.92</v>
      </c>
      <c r="K29" s="270">
        <v>1896.92</v>
      </c>
      <c r="L29" s="271">
        <f t="shared" si="3"/>
        <v>2276.304</v>
      </c>
    </row>
    <row r="30" spans="2:12" ht="15.75">
      <c r="B30" s="239" t="str">
        <f t="shared" si="4"/>
        <v>В .</v>
      </c>
      <c r="C30" s="240" t="s">
        <v>914</v>
      </c>
      <c r="D30" s="241" t="s">
        <v>941</v>
      </c>
      <c r="E30" s="242" t="s">
        <v>942</v>
      </c>
      <c r="F30" s="269" t="s">
        <v>633</v>
      </c>
      <c r="G30" s="247" t="s">
        <v>930</v>
      </c>
      <c r="H30" s="414">
        <v>0</v>
      </c>
      <c r="I30" s="415">
        <v>0</v>
      </c>
      <c r="J30" s="413">
        <f t="shared" si="2"/>
        <v>351.93</v>
      </c>
      <c r="K30" s="245">
        <v>351.93</v>
      </c>
      <c r="L30" s="246">
        <f t="shared" si="3"/>
        <v>422.316</v>
      </c>
    </row>
    <row r="31" spans="2:12" ht="31.5">
      <c r="B31" s="239" t="str">
        <f t="shared" si="4"/>
        <v>В .</v>
      </c>
      <c r="C31" s="240" t="s">
        <v>916</v>
      </c>
      <c r="D31" s="241" t="s">
        <v>943</v>
      </c>
      <c r="E31" s="242" t="s">
        <v>944</v>
      </c>
      <c r="F31" s="269" t="s">
        <v>634</v>
      </c>
      <c r="G31" s="244" t="s">
        <v>897</v>
      </c>
      <c r="H31" s="414">
        <v>0</v>
      </c>
      <c r="I31" s="415">
        <v>0</v>
      </c>
      <c r="J31" s="413">
        <f t="shared" si="2"/>
        <v>175.97</v>
      </c>
      <c r="K31" s="270">
        <v>175.97</v>
      </c>
      <c r="L31" s="271">
        <f t="shared" si="3"/>
        <v>211.164</v>
      </c>
    </row>
    <row r="32" spans="2:12" ht="31.5">
      <c r="B32" s="239" t="str">
        <f t="shared" si="4"/>
        <v>В .</v>
      </c>
      <c r="C32" s="240" t="s">
        <v>918</v>
      </c>
      <c r="D32" s="241" t="s">
        <v>945</v>
      </c>
      <c r="E32" s="242" t="s">
        <v>946</v>
      </c>
      <c r="F32" s="269" t="s">
        <v>635</v>
      </c>
      <c r="G32" s="244" t="s">
        <v>897</v>
      </c>
      <c r="H32" s="414">
        <v>0</v>
      </c>
      <c r="I32" s="415">
        <v>0</v>
      </c>
      <c r="J32" s="413">
        <f t="shared" si="2"/>
        <v>211.16</v>
      </c>
      <c r="K32" s="272">
        <v>211.16</v>
      </c>
      <c r="L32" s="273">
        <f t="shared" si="3"/>
        <v>253.392</v>
      </c>
    </row>
    <row r="33" spans="2:12" ht="31.5">
      <c r="B33" s="239" t="str">
        <f t="shared" si="4"/>
        <v>В .</v>
      </c>
      <c r="C33" s="240" t="s">
        <v>920</v>
      </c>
      <c r="D33" s="241" t="s">
        <v>947</v>
      </c>
      <c r="E33" s="242" t="s">
        <v>948</v>
      </c>
      <c r="F33" s="269" t="s">
        <v>636</v>
      </c>
      <c r="G33" s="244" t="s">
        <v>897</v>
      </c>
      <c r="H33" s="414">
        <v>0</v>
      </c>
      <c r="I33" s="415">
        <v>0</v>
      </c>
      <c r="J33" s="413">
        <f t="shared" si="2"/>
        <v>430.98</v>
      </c>
      <c r="K33" s="270">
        <v>430.98</v>
      </c>
      <c r="L33" s="271">
        <f t="shared" si="3"/>
        <v>517.176</v>
      </c>
    </row>
    <row r="34" spans="2:12" ht="31.5">
      <c r="B34" s="239" t="str">
        <f t="shared" si="4"/>
        <v>В .</v>
      </c>
      <c r="C34" s="240" t="s">
        <v>921</v>
      </c>
      <c r="D34" s="241" t="s">
        <v>949</v>
      </c>
      <c r="E34" s="242" t="s">
        <v>950</v>
      </c>
      <c r="F34" s="269" t="s">
        <v>637</v>
      </c>
      <c r="G34" s="244" t="s">
        <v>897</v>
      </c>
      <c r="H34" s="414">
        <v>0</v>
      </c>
      <c r="I34" s="415">
        <v>0</v>
      </c>
      <c r="J34" s="413">
        <f t="shared" si="2"/>
        <v>18.19</v>
      </c>
      <c r="K34" s="245">
        <v>18.19</v>
      </c>
      <c r="L34" s="246">
        <f t="shared" si="3"/>
        <v>21.828</v>
      </c>
    </row>
    <row r="35" spans="2:12" ht="15.75">
      <c r="B35" s="239" t="str">
        <f t="shared" si="4"/>
        <v>В .</v>
      </c>
      <c r="C35" s="240" t="s">
        <v>923</v>
      </c>
      <c r="D35" s="241" t="s">
        <v>951</v>
      </c>
      <c r="E35" s="242" t="s">
        <v>952</v>
      </c>
      <c r="F35" s="269" t="s">
        <v>638</v>
      </c>
      <c r="G35" s="244" t="s">
        <v>930</v>
      </c>
      <c r="H35" s="414">
        <v>0</v>
      </c>
      <c r="I35" s="415">
        <v>0</v>
      </c>
      <c r="J35" s="413">
        <f t="shared" si="2"/>
        <v>225.92</v>
      </c>
      <c r="K35" s="245">
        <v>225.92</v>
      </c>
      <c r="L35" s="246">
        <f t="shared" si="3"/>
        <v>271.104</v>
      </c>
    </row>
    <row r="36" spans="2:12" ht="31.5">
      <c r="B36" s="239" t="str">
        <f t="shared" si="4"/>
        <v>В .</v>
      </c>
      <c r="C36" s="240" t="s">
        <v>924</v>
      </c>
      <c r="D36" s="241" t="s">
        <v>953</v>
      </c>
      <c r="E36" s="242" t="s">
        <v>954</v>
      </c>
      <c r="F36" s="269" t="s">
        <v>639</v>
      </c>
      <c r="G36" s="244" t="s">
        <v>930</v>
      </c>
      <c r="H36" s="414">
        <v>0</v>
      </c>
      <c r="I36" s="415">
        <v>0</v>
      </c>
      <c r="J36" s="413">
        <f t="shared" si="2"/>
        <v>335.85</v>
      </c>
      <c r="K36" s="245">
        <v>335.85</v>
      </c>
      <c r="L36" s="246">
        <f t="shared" si="3"/>
        <v>403.02000000000004</v>
      </c>
    </row>
    <row r="37" spans="2:12" ht="31.5">
      <c r="B37" s="239" t="str">
        <f t="shared" si="4"/>
        <v>В .</v>
      </c>
      <c r="C37" s="240" t="s">
        <v>955</v>
      </c>
      <c r="D37" s="241" t="s">
        <v>956</v>
      </c>
      <c r="E37" s="242" t="s">
        <v>957</v>
      </c>
      <c r="F37" s="269" t="s">
        <v>640</v>
      </c>
      <c r="G37" s="244" t="s">
        <v>930</v>
      </c>
      <c r="H37" s="414">
        <v>0</v>
      </c>
      <c r="I37" s="415">
        <v>0</v>
      </c>
      <c r="J37" s="413">
        <f t="shared" si="2"/>
        <v>263.31</v>
      </c>
      <c r="K37" s="245">
        <v>263.31</v>
      </c>
      <c r="L37" s="246">
        <f t="shared" si="3"/>
        <v>315.972</v>
      </c>
    </row>
    <row r="38" spans="2:12" ht="31.5">
      <c r="B38" s="239" t="str">
        <f t="shared" si="4"/>
        <v>В .</v>
      </c>
      <c r="C38" s="240" t="s">
        <v>958</v>
      </c>
      <c r="D38" s="241" t="s">
        <v>959</v>
      </c>
      <c r="E38" s="242" t="s">
        <v>960</v>
      </c>
      <c r="F38" s="269" t="s">
        <v>641</v>
      </c>
      <c r="G38" s="244" t="s">
        <v>930</v>
      </c>
      <c r="H38" s="414">
        <v>0</v>
      </c>
      <c r="I38" s="415">
        <v>0</v>
      </c>
      <c r="J38" s="413">
        <f t="shared" si="2"/>
        <v>177.49</v>
      </c>
      <c r="K38" s="245">
        <v>177.49</v>
      </c>
      <c r="L38" s="246">
        <f t="shared" si="3"/>
        <v>212.988</v>
      </c>
    </row>
    <row r="39" spans="2:12" ht="31.5">
      <c r="B39" s="239" t="str">
        <f t="shared" si="4"/>
        <v>В .</v>
      </c>
      <c r="C39" s="240" t="s">
        <v>961</v>
      </c>
      <c r="D39" s="241" t="s">
        <v>962</v>
      </c>
      <c r="E39" s="242" t="s">
        <v>963</v>
      </c>
      <c r="F39" s="269" t="s">
        <v>642</v>
      </c>
      <c r="G39" s="244" t="s">
        <v>930</v>
      </c>
      <c r="H39" s="414">
        <v>0</v>
      </c>
      <c r="I39" s="415">
        <v>0</v>
      </c>
      <c r="J39" s="413">
        <f t="shared" si="2"/>
        <v>53.33</v>
      </c>
      <c r="K39" s="245">
        <v>53.33</v>
      </c>
      <c r="L39" s="246">
        <f t="shared" si="3"/>
        <v>63.995999999999995</v>
      </c>
    </row>
    <row r="40" spans="2:12" ht="47.25">
      <c r="B40" s="239" t="str">
        <f t="shared" si="4"/>
        <v>В .</v>
      </c>
      <c r="C40" s="240" t="s">
        <v>964</v>
      </c>
      <c r="D40" s="241" t="s">
        <v>965</v>
      </c>
      <c r="E40" s="242" t="s">
        <v>966</v>
      </c>
      <c r="F40" s="269" t="s">
        <v>643</v>
      </c>
      <c r="G40" s="244" t="s">
        <v>930</v>
      </c>
      <c r="H40" s="414">
        <v>0</v>
      </c>
      <c r="I40" s="415">
        <v>0</v>
      </c>
      <c r="J40" s="413">
        <f t="shared" si="2"/>
        <v>76.79</v>
      </c>
      <c r="K40" s="245">
        <v>76.79</v>
      </c>
      <c r="L40" s="246">
        <f t="shared" si="3"/>
        <v>92.14800000000001</v>
      </c>
    </row>
    <row r="41" spans="2:12" ht="31.5">
      <c r="B41" s="239" t="str">
        <f t="shared" si="4"/>
        <v>В .</v>
      </c>
      <c r="C41" s="240" t="s">
        <v>967</v>
      </c>
      <c r="D41" s="241" t="s">
        <v>968</v>
      </c>
      <c r="E41" s="242" t="s">
        <v>969</v>
      </c>
      <c r="F41" s="269" t="s">
        <v>644</v>
      </c>
      <c r="G41" s="244" t="s">
        <v>930</v>
      </c>
      <c r="H41" s="414">
        <v>0</v>
      </c>
      <c r="I41" s="415">
        <v>0</v>
      </c>
      <c r="J41" s="413">
        <f t="shared" si="2"/>
        <v>141.08</v>
      </c>
      <c r="K41" s="245">
        <v>141.08</v>
      </c>
      <c r="L41" s="246">
        <f t="shared" si="3"/>
        <v>169.29600000000002</v>
      </c>
    </row>
    <row r="42" spans="2:12" ht="31.5">
      <c r="B42" s="239" t="str">
        <f t="shared" si="4"/>
        <v>В .</v>
      </c>
      <c r="C42" s="240" t="s">
        <v>970</v>
      </c>
      <c r="D42" s="241" t="s">
        <v>971</v>
      </c>
      <c r="E42" s="242" t="s">
        <v>972</v>
      </c>
      <c r="F42" s="269" t="s">
        <v>645</v>
      </c>
      <c r="G42" s="244" t="s">
        <v>930</v>
      </c>
      <c r="H42" s="414">
        <v>0</v>
      </c>
      <c r="I42" s="415">
        <v>0</v>
      </c>
      <c r="J42" s="413">
        <f t="shared" si="2"/>
        <v>129.99</v>
      </c>
      <c r="K42" s="245">
        <v>129.99</v>
      </c>
      <c r="L42" s="246">
        <f t="shared" si="3"/>
        <v>155.988</v>
      </c>
    </row>
    <row r="43" spans="2:12" ht="47.25">
      <c r="B43" s="239" t="str">
        <f t="shared" si="4"/>
        <v>В .</v>
      </c>
      <c r="C43" s="240" t="s">
        <v>973</v>
      </c>
      <c r="D43" s="241" t="s">
        <v>974</v>
      </c>
      <c r="E43" s="242" t="s">
        <v>975</v>
      </c>
      <c r="F43" s="269" t="s">
        <v>646</v>
      </c>
      <c r="G43" s="244" t="s">
        <v>930</v>
      </c>
      <c r="H43" s="414">
        <v>0</v>
      </c>
      <c r="I43" s="415">
        <v>0</v>
      </c>
      <c r="J43" s="413">
        <f t="shared" si="2"/>
        <v>349.95</v>
      </c>
      <c r="K43" s="245">
        <v>349.95</v>
      </c>
      <c r="L43" s="246">
        <f t="shared" si="3"/>
        <v>419.94</v>
      </c>
    </row>
    <row r="44" spans="2:12" ht="31.5">
      <c r="B44" s="239" t="str">
        <f t="shared" si="4"/>
        <v>В .</v>
      </c>
      <c r="C44" s="240" t="s">
        <v>976</v>
      </c>
      <c r="D44" s="241" t="s">
        <v>977</v>
      </c>
      <c r="E44" s="242" t="s">
        <v>978</v>
      </c>
      <c r="F44" s="269" t="s">
        <v>647</v>
      </c>
      <c r="G44" s="244" t="s">
        <v>930</v>
      </c>
      <c r="H44" s="414">
        <v>0</v>
      </c>
      <c r="I44" s="415">
        <v>0</v>
      </c>
      <c r="J44" s="413">
        <f t="shared" si="2"/>
        <v>213.57</v>
      </c>
      <c r="K44" s="245">
        <v>213.57</v>
      </c>
      <c r="L44" s="246">
        <f t="shared" si="3"/>
        <v>256.284</v>
      </c>
    </row>
    <row r="45" spans="2:12" ht="31.5">
      <c r="B45" s="239" t="str">
        <f t="shared" si="4"/>
        <v>В .</v>
      </c>
      <c r="C45" s="240" t="s">
        <v>979</v>
      </c>
      <c r="D45" s="241" t="s">
        <v>980</v>
      </c>
      <c r="E45" s="242" t="s">
        <v>981</v>
      </c>
      <c r="F45" s="269" t="s">
        <v>648</v>
      </c>
      <c r="G45" s="244" t="s">
        <v>930</v>
      </c>
      <c r="H45" s="414">
        <v>0</v>
      </c>
      <c r="I45" s="415">
        <v>0</v>
      </c>
      <c r="J45" s="413">
        <f t="shared" si="2"/>
        <v>222.14</v>
      </c>
      <c r="K45" s="245">
        <v>222.14</v>
      </c>
      <c r="L45" s="246">
        <f t="shared" si="3"/>
        <v>266.568</v>
      </c>
    </row>
    <row r="46" spans="2:12" ht="31.5">
      <c r="B46" s="239" t="str">
        <f t="shared" si="4"/>
        <v>В .</v>
      </c>
      <c r="C46" s="240" t="s">
        <v>982</v>
      </c>
      <c r="D46" s="241" t="s">
        <v>983</v>
      </c>
      <c r="E46" s="242" t="s">
        <v>984</v>
      </c>
      <c r="F46" s="269" t="s">
        <v>649</v>
      </c>
      <c r="G46" s="244" t="s">
        <v>930</v>
      </c>
      <c r="H46" s="414">
        <v>0</v>
      </c>
      <c r="I46" s="415">
        <v>0</v>
      </c>
      <c r="J46" s="413">
        <f t="shared" si="2"/>
        <v>215.66</v>
      </c>
      <c r="K46" s="245">
        <v>215.66</v>
      </c>
      <c r="L46" s="246">
        <f t="shared" si="3"/>
        <v>258.792</v>
      </c>
    </row>
    <row r="47" spans="2:12" ht="31.5">
      <c r="B47" s="239" t="str">
        <f t="shared" si="4"/>
        <v>В .</v>
      </c>
      <c r="C47" s="240" t="s">
        <v>985</v>
      </c>
      <c r="D47" s="241" t="s">
        <v>986</v>
      </c>
      <c r="E47" s="242" t="s">
        <v>987</v>
      </c>
      <c r="F47" s="269" t="s">
        <v>650</v>
      </c>
      <c r="G47" s="244" t="s">
        <v>930</v>
      </c>
      <c r="H47" s="414">
        <v>0</v>
      </c>
      <c r="I47" s="415">
        <v>0</v>
      </c>
      <c r="J47" s="413">
        <f t="shared" si="2"/>
        <v>265.03</v>
      </c>
      <c r="K47" s="245">
        <v>265.03</v>
      </c>
      <c r="L47" s="246">
        <f t="shared" si="3"/>
        <v>318.03599999999994</v>
      </c>
    </row>
    <row r="48" spans="2:12" ht="31.5">
      <c r="B48" s="239" t="str">
        <f t="shared" si="4"/>
        <v>В .</v>
      </c>
      <c r="C48" s="240" t="s">
        <v>988</v>
      </c>
      <c r="D48" s="241" t="s">
        <v>989</v>
      </c>
      <c r="E48" s="242" t="s">
        <v>990</v>
      </c>
      <c r="F48" s="269" t="s">
        <v>651</v>
      </c>
      <c r="G48" s="244" t="s">
        <v>930</v>
      </c>
      <c r="H48" s="414">
        <v>0</v>
      </c>
      <c r="I48" s="415">
        <v>0</v>
      </c>
      <c r="J48" s="413">
        <f t="shared" si="2"/>
        <v>307.05</v>
      </c>
      <c r="K48" s="245">
        <v>307.05</v>
      </c>
      <c r="L48" s="246">
        <f t="shared" si="3"/>
        <v>368.46</v>
      </c>
    </row>
    <row r="49" spans="2:12" ht="15.75">
      <c r="B49" s="239" t="str">
        <f t="shared" si="4"/>
        <v>В .</v>
      </c>
      <c r="C49" s="240" t="s">
        <v>991</v>
      </c>
      <c r="D49" s="241" t="s">
        <v>992</v>
      </c>
      <c r="E49" s="242" t="s">
        <v>993</v>
      </c>
      <c r="F49" s="269" t="s">
        <v>652</v>
      </c>
      <c r="G49" s="247" t="s">
        <v>908</v>
      </c>
      <c r="H49" s="414">
        <v>0</v>
      </c>
      <c r="I49" s="415">
        <v>0</v>
      </c>
      <c r="J49" s="413">
        <f t="shared" si="2"/>
        <v>840.54</v>
      </c>
      <c r="K49" s="245">
        <v>840.54</v>
      </c>
      <c r="L49" s="246">
        <f t="shared" si="3"/>
        <v>1008.6479999999999</v>
      </c>
    </row>
    <row r="50" spans="2:12" ht="15.75">
      <c r="B50" s="239" t="str">
        <f t="shared" si="4"/>
        <v>В .</v>
      </c>
      <c r="C50" s="240" t="s">
        <v>994</v>
      </c>
      <c r="D50" s="241" t="s">
        <v>995</v>
      </c>
      <c r="E50" s="242" t="s">
        <v>996</v>
      </c>
      <c r="F50" s="269" t="s">
        <v>653</v>
      </c>
      <c r="G50" s="247" t="s">
        <v>908</v>
      </c>
      <c r="H50" s="414">
        <v>0</v>
      </c>
      <c r="I50" s="415">
        <v>0</v>
      </c>
      <c r="J50" s="413">
        <f t="shared" si="2"/>
        <v>1401.47</v>
      </c>
      <c r="K50" s="245">
        <v>1401.47</v>
      </c>
      <c r="L50" s="246">
        <f t="shared" si="3"/>
        <v>1681.764</v>
      </c>
    </row>
    <row r="51" spans="2:12" ht="15.75">
      <c r="B51" s="239" t="str">
        <f t="shared" si="4"/>
        <v>В .</v>
      </c>
      <c r="C51" s="240" t="s">
        <v>997</v>
      </c>
      <c r="D51" s="241" t="s">
        <v>998</v>
      </c>
      <c r="E51" s="242" t="s">
        <v>999</v>
      </c>
      <c r="F51" s="269" t="s">
        <v>654</v>
      </c>
      <c r="G51" s="247" t="s">
        <v>908</v>
      </c>
      <c r="H51" s="414">
        <v>0</v>
      </c>
      <c r="I51" s="415">
        <v>0</v>
      </c>
      <c r="J51" s="413">
        <f t="shared" si="2"/>
        <v>3488.25</v>
      </c>
      <c r="K51" s="245">
        <v>3488.25</v>
      </c>
      <c r="L51" s="246">
        <f t="shared" si="3"/>
        <v>4185.9</v>
      </c>
    </row>
    <row r="52" spans="2:12" ht="31.5">
      <c r="B52" s="239" t="str">
        <f t="shared" si="4"/>
        <v>В .</v>
      </c>
      <c r="C52" s="240" t="s">
        <v>1000</v>
      </c>
      <c r="D52" s="241" t="s">
        <v>1001</v>
      </c>
      <c r="E52" s="242" t="s">
        <v>1002</v>
      </c>
      <c r="F52" s="269" t="s">
        <v>655</v>
      </c>
      <c r="G52" s="244" t="s">
        <v>930</v>
      </c>
      <c r="H52" s="414">
        <v>0</v>
      </c>
      <c r="I52" s="415">
        <v>0</v>
      </c>
      <c r="J52" s="413">
        <f t="shared" si="2"/>
        <v>152.5</v>
      </c>
      <c r="K52" s="245">
        <v>152.5</v>
      </c>
      <c r="L52" s="246">
        <f t="shared" si="3"/>
        <v>183</v>
      </c>
    </row>
    <row r="53" spans="2:12" ht="15.75">
      <c r="B53" s="239" t="str">
        <f t="shared" si="4"/>
        <v>В .</v>
      </c>
      <c r="C53" s="240" t="s">
        <v>1003</v>
      </c>
      <c r="D53" s="241" t="s">
        <v>1004</v>
      </c>
      <c r="E53" s="250"/>
      <c r="F53" s="274" t="s">
        <v>656</v>
      </c>
      <c r="G53" s="244" t="s">
        <v>930</v>
      </c>
      <c r="H53" s="414">
        <v>0</v>
      </c>
      <c r="I53" s="415">
        <v>0</v>
      </c>
      <c r="J53" s="413">
        <f t="shared" si="2"/>
        <v>550</v>
      </c>
      <c r="K53" s="252">
        <v>550</v>
      </c>
      <c r="L53" s="253">
        <f t="shared" si="3"/>
        <v>660</v>
      </c>
    </row>
    <row r="54" spans="2:12" ht="31.5">
      <c r="B54" s="239" t="str">
        <f t="shared" si="4"/>
        <v>В .</v>
      </c>
      <c r="C54" s="240" t="s">
        <v>1005</v>
      </c>
      <c r="D54" s="241" t="s">
        <v>1006</v>
      </c>
      <c r="E54" s="242" t="s">
        <v>1007</v>
      </c>
      <c r="F54" s="269" t="s">
        <v>657</v>
      </c>
      <c r="G54" s="244" t="s">
        <v>930</v>
      </c>
      <c r="H54" s="414">
        <v>0</v>
      </c>
      <c r="I54" s="415">
        <v>0</v>
      </c>
      <c r="J54" s="413">
        <f t="shared" si="2"/>
        <v>154.09</v>
      </c>
      <c r="K54" s="245">
        <v>154.09</v>
      </c>
      <c r="L54" s="246">
        <f t="shared" si="3"/>
        <v>184.908</v>
      </c>
    </row>
    <row r="55" spans="2:12" ht="31.5">
      <c r="B55" s="239" t="str">
        <f t="shared" si="4"/>
        <v>В .</v>
      </c>
      <c r="C55" s="240" t="s">
        <v>1008</v>
      </c>
      <c r="D55" s="241" t="s">
        <v>1009</v>
      </c>
      <c r="E55" s="242" t="s">
        <v>1010</v>
      </c>
      <c r="F55" s="269" t="s">
        <v>658</v>
      </c>
      <c r="G55" s="244" t="s">
        <v>930</v>
      </c>
      <c r="H55" s="414">
        <v>0</v>
      </c>
      <c r="I55" s="415">
        <v>0</v>
      </c>
      <c r="J55" s="413">
        <f t="shared" si="2"/>
        <v>158.73</v>
      </c>
      <c r="K55" s="245">
        <v>158.73</v>
      </c>
      <c r="L55" s="246">
        <f t="shared" si="3"/>
        <v>190.47599999999997</v>
      </c>
    </row>
    <row r="56" spans="2:12" ht="15.75">
      <c r="B56" s="239" t="str">
        <f t="shared" si="4"/>
        <v>В .</v>
      </c>
      <c r="C56" s="240" t="s">
        <v>1011</v>
      </c>
      <c r="D56" s="241" t="s">
        <v>1012</v>
      </c>
      <c r="E56" s="242" t="s">
        <v>1013</v>
      </c>
      <c r="F56" s="269" t="s">
        <v>659</v>
      </c>
      <c r="G56" s="244" t="s">
        <v>930</v>
      </c>
      <c r="H56" s="414">
        <v>0</v>
      </c>
      <c r="I56" s="415">
        <v>0</v>
      </c>
      <c r="J56" s="413">
        <f t="shared" si="2"/>
        <v>70</v>
      </c>
      <c r="K56" s="272">
        <v>70</v>
      </c>
      <c r="L56" s="273">
        <f t="shared" si="3"/>
        <v>84</v>
      </c>
    </row>
    <row r="57" spans="2:12" ht="15.75">
      <c r="B57" s="239" t="str">
        <f t="shared" si="4"/>
        <v>В .</v>
      </c>
      <c r="C57" s="240" t="s">
        <v>1014</v>
      </c>
      <c r="D57" s="241" t="s">
        <v>1015</v>
      </c>
      <c r="E57" s="242" t="s">
        <v>1016</v>
      </c>
      <c r="F57" s="269" t="s">
        <v>660</v>
      </c>
      <c r="G57" s="244" t="s">
        <v>930</v>
      </c>
      <c r="H57" s="414">
        <v>0</v>
      </c>
      <c r="I57" s="415">
        <v>0</v>
      </c>
      <c r="J57" s="413">
        <f t="shared" si="2"/>
        <v>72</v>
      </c>
      <c r="K57" s="245">
        <v>72</v>
      </c>
      <c r="L57" s="246">
        <f t="shared" si="3"/>
        <v>86.39999999999999</v>
      </c>
    </row>
    <row r="58" spans="2:12" ht="15.75">
      <c r="B58" s="239" t="str">
        <f t="shared" si="4"/>
        <v>В .</v>
      </c>
      <c r="C58" s="240" t="s">
        <v>1017</v>
      </c>
      <c r="D58" s="241" t="s">
        <v>1018</v>
      </c>
      <c r="E58" s="242" t="s">
        <v>1019</v>
      </c>
      <c r="F58" s="269" t="s">
        <v>661</v>
      </c>
      <c r="G58" s="244" t="s">
        <v>930</v>
      </c>
      <c r="H58" s="414">
        <v>0</v>
      </c>
      <c r="I58" s="415">
        <v>0</v>
      </c>
      <c r="J58" s="413">
        <f t="shared" si="2"/>
        <v>55.32</v>
      </c>
      <c r="K58" s="245">
        <v>55.32</v>
      </c>
      <c r="L58" s="246">
        <f t="shared" si="3"/>
        <v>66.384</v>
      </c>
    </row>
    <row r="59" spans="2:12" ht="15.75">
      <c r="B59" s="239" t="str">
        <f t="shared" si="4"/>
        <v>В .</v>
      </c>
      <c r="C59" s="240" t="s">
        <v>1020</v>
      </c>
      <c r="D59" s="241" t="s">
        <v>1021</v>
      </c>
      <c r="E59" s="242" t="s">
        <v>1022</v>
      </c>
      <c r="F59" s="269" t="s">
        <v>662</v>
      </c>
      <c r="G59" s="247" t="s">
        <v>908</v>
      </c>
      <c r="H59" s="414">
        <v>0</v>
      </c>
      <c r="I59" s="415">
        <v>0</v>
      </c>
      <c r="J59" s="413">
        <f t="shared" si="2"/>
        <v>595.35</v>
      </c>
      <c r="K59" s="245">
        <v>595.35</v>
      </c>
      <c r="L59" s="246">
        <f t="shared" si="3"/>
        <v>714.42</v>
      </c>
    </row>
    <row r="60" spans="2:12" ht="15.75">
      <c r="B60" s="239" t="str">
        <f t="shared" si="4"/>
        <v>В .</v>
      </c>
      <c r="C60" s="240" t="s">
        <v>1023</v>
      </c>
      <c r="D60" s="241" t="s">
        <v>1024</v>
      </c>
      <c r="E60" s="242" t="s">
        <v>1025</v>
      </c>
      <c r="F60" s="269" t="s">
        <v>663</v>
      </c>
      <c r="G60" s="247" t="s">
        <v>908</v>
      </c>
      <c r="H60" s="414">
        <v>0</v>
      </c>
      <c r="I60" s="415">
        <v>0</v>
      </c>
      <c r="J60" s="413">
        <f t="shared" si="2"/>
        <v>383.11</v>
      </c>
      <c r="K60" s="245">
        <v>383.11</v>
      </c>
      <c r="L60" s="246">
        <f t="shared" si="3"/>
        <v>459.732</v>
      </c>
    </row>
    <row r="61" spans="2:12" ht="15.75">
      <c r="B61" s="239" t="str">
        <f t="shared" si="4"/>
        <v>В .</v>
      </c>
      <c r="C61" s="240" t="s">
        <v>1026</v>
      </c>
      <c r="D61" s="241" t="s">
        <v>1027</v>
      </c>
      <c r="E61" s="242" t="s">
        <v>1028</v>
      </c>
      <c r="F61" s="269" t="s">
        <v>664</v>
      </c>
      <c r="G61" s="244" t="s">
        <v>897</v>
      </c>
      <c r="H61" s="414">
        <v>0</v>
      </c>
      <c r="I61" s="415">
        <v>0</v>
      </c>
      <c r="J61" s="413">
        <f t="shared" si="2"/>
        <v>164.24</v>
      </c>
      <c r="K61" s="245">
        <v>164.24</v>
      </c>
      <c r="L61" s="246">
        <f t="shared" si="3"/>
        <v>197.088</v>
      </c>
    </row>
    <row r="62" spans="2:12" ht="15.75">
      <c r="B62" s="239" t="str">
        <f t="shared" si="4"/>
        <v>В .</v>
      </c>
      <c r="C62" s="240" t="s">
        <v>1029</v>
      </c>
      <c r="D62" s="241" t="s">
        <v>1030</v>
      </c>
      <c r="E62" s="242" t="s">
        <v>1031</v>
      </c>
      <c r="F62" s="269" t="s">
        <v>665</v>
      </c>
      <c r="G62" s="244" t="s">
        <v>897</v>
      </c>
      <c r="H62" s="414">
        <v>0</v>
      </c>
      <c r="I62" s="415">
        <v>0</v>
      </c>
      <c r="J62" s="413">
        <f t="shared" si="2"/>
        <v>205.29</v>
      </c>
      <c r="K62" s="245">
        <v>205.29</v>
      </c>
      <c r="L62" s="246">
        <f t="shared" si="3"/>
        <v>246.34799999999998</v>
      </c>
    </row>
    <row r="63" spans="2:12" ht="15.75">
      <c r="B63" s="239" t="str">
        <f t="shared" si="4"/>
        <v>В .</v>
      </c>
      <c r="C63" s="240" t="s">
        <v>1032</v>
      </c>
      <c r="D63" s="241"/>
      <c r="E63" s="242"/>
      <c r="F63" s="269" t="s">
        <v>666</v>
      </c>
      <c r="G63" s="244" t="s">
        <v>930</v>
      </c>
      <c r="H63" s="414">
        <f>720/1.2</f>
        <v>600</v>
      </c>
      <c r="I63" s="412">
        <v>846.18</v>
      </c>
      <c r="J63" s="428">
        <f>0.48*330.46*2.6</f>
        <v>412.41407999999996</v>
      </c>
      <c r="K63" s="245">
        <v>1858.59</v>
      </c>
      <c r="L63" s="246">
        <f t="shared" si="3"/>
        <v>2230.308</v>
      </c>
    </row>
    <row r="64" spans="2:12" ht="15.75">
      <c r="B64" s="239" t="str">
        <f t="shared" si="4"/>
        <v>В .</v>
      </c>
      <c r="C64" s="240" t="s">
        <v>1033</v>
      </c>
      <c r="D64" s="241" t="s">
        <v>1034</v>
      </c>
      <c r="E64" s="242"/>
      <c r="F64" s="269" t="s">
        <v>667</v>
      </c>
      <c r="G64" s="244" t="s">
        <v>930</v>
      </c>
      <c r="H64" s="414">
        <f>984/1.2</f>
        <v>820</v>
      </c>
      <c r="I64" s="412">
        <v>846.18</v>
      </c>
      <c r="J64" s="428">
        <f>0.48*330.46*2.6</f>
        <v>412.41407999999996</v>
      </c>
      <c r="K64" s="245">
        <v>2078.59</v>
      </c>
      <c r="L64" s="246">
        <f t="shared" si="3"/>
        <v>2494.308</v>
      </c>
    </row>
    <row r="65" spans="2:12" ht="15.75">
      <c r="B65" s="403"/>
      <c r="C65" s="275"/>
      <c r="D65" s="276"/>
      <c r="E65" s="277"/>
      <c r="F65" s="278"/>
      <c r="G65" s="279"/>
      <c r="H65" s="429"/>
      <c r="I65" s="430"/>
      <c r="J65" s="428"/>
      <c r="K65" s="280"/>
      <c r="L65" s="281"/>
    </row>
    <row r="66" spans="2:12" ht="16.5" thickBot="1">
      <c r="B66" s="681" t="s">
        <v>1035</v>
      </c>
      <c r="C66" s="682"/>
      <c r="D66" s="282"/>
      <c r="E66" s="234"/>
      <c r="F66" s="235" t="s">
        <v>1036</v>
      </c>
      <c r="G66" s="397"/>
      <c r="H66" s="420"/>
      <c r="I66" s="421"/>
      <c r="J66" s="422"/>
      <c r="K66" s="262"/>
      <c r="L66" s="263"/>
    </row>
    <row r="67" spans="2:12" ht="15.75">
      <c r="B67" s="403"/>
      <c r="C67" s="423"/>
      <c r="D67" s="283"/>
      <c r="E67" s="265"/>
      <c r="F67" s="266"/>
      <c r="G67" s="424"/>
      <c r="H67" s="425"/>
      <c r="I67" s="426"/>
      <c r="J67" s="427"/>
      <c r="K67" s="267"/>
      <c r="L67" s="268"/>
    </row>
    <row r="68" spans="2:12" ht="15.75">
      <c r="B68" s="239" t="str">
        <f>+B66</f>
        <v>С .</v>
      </c>
      <c r="C68" s="240" t="s">
        <v>894</v>
      </c>
      <c r="D68" s="241" t="s">
        <v>1037</v>
      </c>
      <c r="E68" s="242" t="s">
        <v>1038</v>
      </c>
      <c r="F68" s="269" t="s">
        <v>668</v>
      </c>
      <c r="G68" s="244" t="s">
        <v>897</v>
      </c>
      <c r="H68" s="411">
        <f>+K68-J68</f>
        <v>198.17682799999994</v>
      </c>
      <c r="I68" s="412">
        <v>0</v>
      </c>
      <c r="J68" s="431">
        <f>1.2982*330.46</f>
        <v>429.003172</v>
      </c>
      <c r="K68" s="245">
        <v>627.18</v>
      </c>
      <c r="L68" s="246">
        <f>+$K68*$L$5</f>
        <v>752.6159999999999</v>
      </c>
    </row>
    <row r="69" spans="2:12" ht="31.5">
      <c r="B69" s="239" t="str">
        <f>+B68</f>
        <v>С .</v>
      </c>
      <c r="C69" s="240" t="s">
        <v>898</v>
      </c>
      <c r="D69" s="241" t="s">
        <v>1039</v>
      </c>
      <c r="E69" s="242"/>
      <c r="F69" s="269" t="s">
        <v>669</v>
      </c>
      <c r="G69" s="244" t="s">
        <v>897</v>
      </c>
      <c r="H69" s="411">
        <f>+(K69-J69)*0.9</f>
        <v>1042.9338409200004</v>
      </c>
      <c r="I69" s="412">
        <f>+K69-(H69+J69)</f>
        <v>115.88153788</v>
      </c>
      <c r="J69" s="431">
        <f>+(0.0258+0.007+0.0207+0.006+0.01+0.001+0.1817+0.2725+0.0136+0.12+0.0952+0.0459+0.0579+0.0474)*330.46*2.6</f>
        <v>777.3146211999998</v>
      </c>
      <c r="K69" s="245">
        <v>1936.13</v>
      </c>
      <c r="L69" s="246">
        <f>+$K69*$L$5</f>
        <v>2323.356</v>
      </c>
    </row>
    <row r="70" spans="2:12" ht="15.75">
      <c r="B70" s="239" t="str">
        <f>+B69</f>
        <v>С .</v>
      </c>
      <c r="C70" s="240" t="s">
        <v>902</v>
      </c>
      <c r="D70" s="241" t="s">
        <v>1040</v>
      </c>
      <c r="E70" s="242" t="s">
        <v>1041</v>
      </c>
      <c r="F70" s="269" t="s">
        <v>670</v>
      </c>
      <c r="G70" s="244" t="s">
        <v>897</v>
      </c>
      <c r="H70" s="411">
        <f>+H69*2</f>
        <v>2085.867681840001</v>
      </c>
      <c r="I70" s="412">
        <f>+I69*2</f>
        <v>231.76307576</v>
      </c>
      <c r="J70" s="431">
        <f>+J69*1.5</f>
        <v>1165.9719317999998</v>
      </c>
      <c r="K70" s="245">
        <v>3483.6</v>
      </c>
      <c r="L70" s="246">
        <f>+$K70*$L$5</f>
        <v>4180.32</v>
      </c>
    </row>
    <row r="71" spans="2:12" ht="15.75">
      <c r="B71" s="284"/>
      <c r="C71" s="285"/>
      <c r="D71" s="276"/>
      <c r="E71" s="277"/>
      <c r="F71" s="278"/>
      <c r="G71" s="279"/>
      <c r="H71" s="429"/>
      <c r="I71" s="430"/>
      <c r="J71" s="428"/>
      <c r="K71" s="280"/>
      <c r="L71" s="281"/>
    </row>
    <row r="72" spans="2:12" ht="16.5" thickBot="1">
      <c r="B72" s="681" t="s">
        <v>1042</v>
      </c>
      <c r="C72" s="682"/>
      <c r="D72" s="282"/>
      <c r="E72" s="234"/>
      <c r="F72" s="235" t="s">
        <v>1043</v>
      </c>
      <c r="G72" s="397"/>
      <c r="H72" s="420"/>
      <c r="I72" s="421"/>
      <c r="J72" s="422"/>
      <c r="K72" s="262"/>
      <c r="L72" s="263"/>
    </row>
    <row r="73" spans="2:12" ht="15.75">
      <c r="B73" s="403"/>
      <c r="C73" s="423"/>
      <c r="D73" s="283"/>
      <c r="E73" s="265"/>
      <c r="F73" s="266"/>
      <c r="G73" s="424"/>
      <c r="H73" s="425"/>
      <c r="I73" s="426"/>
      <c r="J73" s="427"/>
      <c r="K73" s="267"/>
      <c r="L73" s="268"/>
    </row>
    <row r="74" spans="2:12" ht="31.5">
      <c r="B74" s="239" t="str">
        <f>+B72</f>
        <v>D .</v>
      </c>
      <c r="C74" s="240" t="s">
        <v>894</v>
      </c>
      <c r="D74" s="241" t="s">
        <v>1044</v>
      </c>
      <c r="E74" s="242" t="s">
        <v>1045</v>
      </c>
      <c r="F74" s="269" t="s">
        <v>671</v>
      </c>
      <c r="G74" s="247" t="s">
        <v>1046</v>
      </c>
      <c r="H74" s="414">
        <v>85</v>
      </c>
      <c r="I74" s="415">
        <f>+H74*0.1</f>
        <v>8.5</v>
      </c>
      <c r="J74" s="413">
        <f>+K74-(H74+I74)</f>
        <v>135.87</v>
      </c>
      <c r="K74" s="245">
        <v>229.37</v>
      </c>
      <c r="L74" s="246">
        <f>+$K74*$L$5</f>
        <v>275.24399999999997</v>
      </c>
    </row>
    <row r="75" spans="2:12" ht="15.75">
      <c r="B75" s="239" t="str">
        <f>+B74</f>
        <v>D .</v>
      </c>
      <c r="C75" s="240" t="s">
        <v>898</v>
      </c>
      <c r="D75" s="241" t="s">
        <v>1047</v>
      </c>
      <c r="E75" s="242" t="s">
        <v>1048</v>
      </c>
      <c r="F75" s="269" t="s">
        <v>672</v>
      </c>
      <c r="G75" s="247" t="s">
        <v>1046</v>
      </c>
      <c r="H75" s="414">
        <v>85</v>
      </c>
      <c r="I75" s="415">
        <f>+H75*0.1</f>
        <v>8.5</v>
      </c>
      <c r="J75" s="413">
        <f>+K75-(H75+I75)</f>
        <v>81.5</v>
      </c>
      <c r="K75" s="245">
        <v>175</v>
      </c>
      <c r="L75" s="246">
        <f>+$K75*$L$5</f>
        <v>210</v>
      </c>
    </row>
    <row r="76" spans="2:12" ht="15.75">
      <c r="B76" s="432"/>
      <c r="C76" s="285"/>
      <c r="D76" s="276"/>
      <c r="E76" s="277"/>
      <c r="F76" s="278"/>
      <c r="G76" s="259"/>
      <c r="H76" s="417"/>
      <c r="I76" s="418"/>
      <c r="J76" s="419"/>
      <c r="K76" s="280"/>
      <c r="L76" s="281"/>
    </row>
    <row r="77" spans="2:12" ht="16.5" thickBot="1">
      <c r="B77" s="681" t="s">
        <v>1049</v>
      </c>
      <c r="C77" s="682"/>
      <c r="D77" s="282"/>
      <c r="E77" s="234"/>
      <c r="F77" s="235" t="s">
        <v>1050</v>
      </c>
      <c r="G77" s="397"/>
      <c r="H77" s="420"/>
      <c r="I77" s="421"/>
      <c r="J77" s="422"/>
      <c r="K77" s="262"/>
      <c r="L77" s="263"/>
    </row>
    <row r="78" spans="2:12" ht="15.75">
      <c r="B78" s="403"/>
      <c r="C78" s="423"/>
      <c r="D78" s="283"/>
      <c r="E78" s="265"/>
      <c r="F78" s="266"/>
      <c r="G78" s="424"/>
      <c r="H78" s="425"/>
      <c r="I78" s="426"/>
      <c r="J78" s="427"/>
      <c r="K78" s="267"/>
      <c r="L78" s="268"/>
    </row>
    <row r="79" spans="2:12" ht="15.75">
      <c r="B79" s="239" t="str">
        <f>+B77</f>
        <v>E .</v>
      </c>
      <c r="C79" s="240" t="s">
        <v>894</v>
      </c>
      <c r="D79" s="241" t="s">
        <v>1051</v>
      </c>
      <c r="E79" s="242" t="s">
        <v>1052</v>
      </c>
      <c r="F79" s="269" t="s">
        <v>1053</v>
      </c>
      <c r="G79" s="244" t="s">
        <v>930</v>
      </c>
      <c r="H79" s="411">
        <f>+K79-(I79+J79)</f>
        <v>6586.74</v>
      </c>
      <c r="I79" s="412">
        <v>1089.86</v>
      </c>
      <c r="J79" s="413">
        <v>3823.4</v>
      </c>
      <c r="K79" s="245">
        <v>11500</v>
      </c>
      <c r="L79" s="246">
        <f aca="true" t="shared" si="5" ref="L79:L86">+$K79*$L$5</f>
        <v>13800</v>
      </c>
    </row>
    <row r="80" spans="2:12" ht="15.75">
      <c r="B80" s="239" t="str">
        <f>+B79</f>
        <v>E .</v>
      </c>
      <c r="C80" s="240" t="s">
        <v>898</v>
      </c>
      <c r="D80" s="241" t="s">
        <v>1054</v>
      </c>
      <c r="E80" s="242" t="s">
        <v>1055</v>
      </c>
      <c r="F80" s="269" t="s">
        <v>1056</v>
      </c>
      <c r="G80" s="244" t="s">
        <v>930</v>
      </c>
      <c r="H80" s="411">
        <f>+K80-(I80+J80)</f>
        <v>6822.06</v>
      </c>
      <c r="I80" s="412">
        <v>1089.86</v>
      </c>
      <c r="J80" s="413">
        <f>3823.4*1.2</f>
        <v>4588.08</v>
      </c>
      <c r="K80" s="245">
        <v>12500</v>
      </c>
      <c r="L80" s="246">
        <f t="shared" si="5"/>
        <v>15000</v>
      </c>
    </row>
    <row r="81" spans="2:12" ht="15.75">
      <c r="B81" s="239" t="str">
        <f aca="true" t="shared" si="6" ref="B81:B86">+B80</f>
        <v>E .</v>
      </c>
      <c r="C81" s="240" t="s">
        <v>902</v>
      </c>
      <c r="D81" s="241" t="s">
        <v>1057</v>
      </c>
      <c r="E81" s="242" t="s">
        <v>1058</v>
      </c>
      <c r="F81" s="269" t="s">
        <v>1059</v>
      </c>
      <c r="G81" s="244" t="s">
        <v>930</v>
      </c>
      <c r="H81" s="411">
        <f>+K81-(I81+J81)</f>
        <v>7322.06</v>
      </c>
      <c r="I81" s="412">
        <v>1089.86</v>
      </c>
      <c r="J81" s="413">
        <f>3823.4*1.2</f>
        <v>4588.08</v>
      </c>
      <c r="K81" s="245">
        <v>13000</v>
      </c>
      <c r="L81" s="246">
        <f t="shared" si="5"/>
        <v>15600</v>
      </c>
    </row>
    <row r="82" spans="2:12" ht="15.75">
      <c r="B82" s="239" t="str">
        <f t="shared" si="6"/>
        <v>E .</v>
      </c>
      <c r="C82" s="240" t="s">
        <v>905</v>
      </c>
      <c r="D82" s="241" t="s">
        <v>1060</v>
      </c>
      <c r="E82" s="242" t="s">
        <v>1061</v>
      </c>
      <c r="F82" s="269" t="s">
        <v>1062</v>
      </c>
      <c r="G82" s="244" t="s">
        <v>930</v>
      </c>
      <c r="H82" s="411">
        <f>+K82-(I82+J82)</f>
        <v>8822.060000000001</v>
      </c>
      <c r="I82" s="412">
        <v>1089.86</v>
      </c>
      <c r="J82" s="413">
        <f>3823.4*1.2</f>
        <v>4588.08</v>
      </c>
      <c r="K82" s="245">
        <v>14500</v>
      </c>
      <c r="L82" s="246">
        <f t="shared" si="5"/>
        <v>17400</v>
      </c>
    </row>
    <row r="83" spans="2:12" ht="15.75">
      <c r="B83" s="239" t="str">
        <f t="shared" si="6"/>
        <v>E .</v>
      </c>
      <c r="C83" s="240" t="s">
        <v>909</v>
      </c>
      <c r="D83" s="241"/>
      <c r="E83" s="242"/>
      <c r="F83" s="269" t="s">
        <v>1063</v>
      </c>
      <c r="G83" s="244" t="s">
        <v>930</v>
      </c>
      <c r="H83" s="411">
        <f>+K83-(I83+J83)</f>
        <v>9522.060000000001</v>
      </c>
      <c r="I83" s="412">
        <v>1089.86</v>
      </c>
      <c r="J83" s="413">
        <f>3823.4*1.2</f>
        <v>4588.08</v>
      </c>
      <c r="K83" s="245">
        <v>15200</v>
      </c>
      <c r="L83" s="246">
        <f t="shared" si="5"/>
        <v>18240</v>
      </c>
    </row>
    <row r="84" spans="2:12" ht="31.5">
      <c r="B84" s="239" t="str">
        <f t="shared" si="6"/>
        <v>E .</v>
      </c>
      <c r="C84" s="240" t="s">
        <v>912</v>
      </c>
      <c r="D84" s="241"/>
      <c r="E84" s="242"/>
      <c r="F84" s="286" t="s">
        <v>673</v>
      </c>
      <c r="G84" s="287" t="s">
        <v>1064</v>
      </c>
      <c r="H84" s="411">
        <f aca="true" t="shared" si="7" ref="H84:J85">+H79*0.1</f>
        <v>658.674</v>
      </c>
      <c r="I84" s="412">
        <f t="shared" si="7"/>
        <v>108.98599999999999</v>
      </c>
      <c r="J84" s="413">
        <f t="shared" si="7"/>
        <v>382.34000000000003</v>
      </c>
      <c r="K84" s="245">
        <v>1150</v>
      </c>
      <c r="L84" s="246">
        <f t="shared" si="5"/>
        <v>1380</v>
      </c>
    </row>
    <row r="85" spans="2:12" ht="31.5">
      <c r="B85" s="239" t="str">
        <f t="shared" si="6"/>
        <v>E .</v>
      </c>
      <c r="C85" s="240" t="s">
        <v>914</v>
      </c>
      <c r="D85" s="241"/>
      <c r="E85" s="242"/>
      <c r="F85" s="286" t="s">
        <v>674</v>
      </c>
      <c r="G85" s="244" t="s">
        <v>897</v>
      </c>
      <c r="H85" s="411">
        <f t="shared" si="7"/>
        <v>682.2060000000001</v>
      </c>
      <c r="I85" s="412">
        <f t="shared" si="7"/>
        <v>108.98599999999999</v>
      </c>
      <c r="J85" s="413">
        <f t="shared" si="7"/>
        <v>458.808</v>
      </c>
      <c r="K85" s="245">
        <v>1250</v>
      </c>
      <c r="L85" s="246">
        <f t="shared" si="5"/>
        <v>1500</v>
      </c>
    </row>
    <row r="86" spans="2:12" ht="31.5">
      <c r="B86" s="239" t="str">
        <f t="shared" si="6"/>
        <v>E .</v>
      </c>
      <c r="C86" s="240" t="s">
        <v>916</v>
      </c>
      <c r="D86" s="249" t="s">
        <v>1065</v>
      </c>
      <c r="E86" s="250"/>
      <c r="F86" s="288" t="s">
        <v>675</v>
      </c>
      <c r="G86" s="244" t="s">
        <v>897</v>
      </c>
      <c r="H86" s="411">
        <f>+H82*0.2</f>
        <v>1764.4120000000003</v>
      </c>
      <c r="I86" s="412">
        <f>+I82*2.1</f>
        <v>2288.7059999999997</v>
      </c>
      <c r="J86" s="431">
        <f>+K86-(H86+I86)</f>
        <v>2546.882</v>
      </c>
      <c r="K86" s="252">
        <v>6600</v>
      </c>
      <c r="L86" s="253">
        <f t="shared" si="5"/>
        <v>7920</v>
      </c>
    </row>
    <row r="87" spans="2:12" ht="15.75">
      <c r="B87" s="432"/>
      <c r="C87" s="285"/>
      <c r="D87" s="256"/>
      <c r="E87" s="257"/>
      <c r="F87" s="289"/>
      <c r="G87" s="279"/>
      <c r="H87" s="429"/>
      <c r="I87" s="430"/>
      <c r="J87" s="428"/>
      <c r="K87" s="260"/>
      <c r="L87" s="261"/>
    </row>
    <row r="88" spans="2:12" ht="16.5" thickBot="1">
      <c r="B88" s="681" t="s">
        <v>1066</v>
      </c>
      <c r="C88" s="682"/>
      <c r="D88" s="282"/>
      <c r="E88" s="234"/>
      <c r="F88" s="235" t="s">
        <v>1067</v>
      </c>
      <c r="G88" s="397"/>
      <c r="H88" s="420"/>
      <c r="I88" s="421"/>
      <c r="J88" s="422"/>
      <c r="K88" s="262"/>
      <c r="L88" s="263"/>
    </row>
    <row r="89" spans="2:12" ht="15.75">
      <c r="B89" s="432"/>
      <c r="C89" s="290"/>
      <c r="D89" s="256"/>
      <c r="E89" s="257"/>
      <c r="F89" s="289"/>
      <c r="G89" s="279"/>
      <c r="H89" s="429"/>
      <c r="I89" s="430"/>
      <c r="J89" s="428"/>
      <c r="K89" s="260"/>
      <c r="L89" s="261"/>
    </row>
    <row r="90" spans="2:12" ht="31.5">
      <c r="B90" s="239" t="str">
        <f>+B88</f>
        <v>F .</v>
      </c>
      <c r="C90" s="240" t="s">
        <v>894</v>
      </c>
      <c r="D90" s="249" t="s">
        <v>1068</v>
      </c>
      <c r="E90" s="257"/>
      <c r="F90" s="289" t="s">
        <v>676</v>
      </c>
      <c r="G90" s="244" t="s">
        <v>897</v>
      </c>
      <c r="H90" s="429">
        <f>(5*2.5*30)+200</f>
        <v>575</v>
      </c>
      <c r="I90" s="430">
        <f>+H90*0.1</f>
        <v>57.5</v>
      </c>
      <c r="J90" s="428">
        <f>1.515*330.46</f>
        <v>500.64689999999996</v>
      </c>
      <c r="K90" s="260">
        <v>1133.15</v>
      </c>
      <c r="L90" s="261">
        <f>+$K90*$L$5</f>
        <v>1359.78</v>
      </c>
    </row>
    <row r="91" spans="2:12" ht="31.5">
      <c r="B91" s="239" t="str">
        <f>+B90</f>
        <v>F .</v>
      </c>
      <c r="C91" s="240" t="s">
        <v>898</v>
      </c>
      <c r="D91" s="249" t="s">
        <v>1068</v>
      </c>
      <c r="E91" s="257"/>
      <c r="F91" s="289" t="s">
        <v>677</v>
      </c>
      <c r="G91" s="244" t="s">
        <v>897</v>
      </c>
      <c r="H91" s="429">
        <f>(45*12.5)+200</f>
        <v>762.5</v>
      </c>
      <c r="I91" s="430">
        <f>+H91*0.1</f>
        <v>76.25</v>
      </c>
      <c r="J91" s="428">
        <f>1.515*330.46</f>
        <v>500.64689999999996</v>
      </c>
      <c r="K91" s="260">
        <v>1339.4</v>
      </c>
      <c r="L91" s="261">
        <f>+$K91*$L$5</f>
        <v>1607.28</v>
      </c>
    </row>
    <row r="92" spans="2:12" ht="31.5">
      <c r="B92" s="239" t="str">
        <f>+B91</f>
        <v>F .</v>
      </c>
      <c r="C92" s="240" t="s">
        <v>902</v>
      </c>
      <c r="D92" s="249" t="s">
        <v>1068</v>
      </c>
      <c r="E92" s="257"/>
      <c r="F92" s="289" t="s">
        <v>678</v>
      </c>
      <c r="G92" s="244" t="s">
        <v>897</v>
      </c>
      <c r="H92" s="429">
        <f>+H91*1.15</f>
        <v>876.8749999999999</v>
      </c>
      <c r="I92" s="430">
        <f>+H92*0.1</f>
        <v>87.6875</v>
      </c>
      <c r="J92" s="428">
        <f>2.595*330.46</f>
        <v>857.5437000000001</v>
      </c>
      <c r="K92" s="260">
        <v>1822.11</v>
      </c>
      <c r="L92" s="261">
        <f>+$K92*$L$5</f>
        <v>2186.5319999999997</v>
      </c>
    </row>
    <row r="93" spans="2:12" ht="31.5">
      <c r="B93" s="239" t="str">
        <f>+B92</f>
        <v>F .</v>
      </c>
      <c r="C93" s="240" t="s">
        <v>905</v>
      </c>
      <c r="D93" s="249" t="s">
        <v>1069</v>
      </c>
      <c r="E93" s="257"/>
      <c r="F93" s="289" t="s">
        <v>1070</v>
      </c>
      <c r="G93" s="244" t="s">
        <v>897</v>
      </c>
      <c r="H93" s="429">
        <v>985</v>
      </c>
      <c r="I93" s="430">
        <f>+H93*0.1</f>
        <v>98.5</v>
      </c>
      <c r="J93" s="413">
        <f>+K93-(H93+I93)</f>
        <v>1156.5</v>
      </c>
      <c r="K93" s="260">
        <v>2240</v>
      </c>
      <c r="L93" s="261">
        <f>+$K93*$L$5</f>
        <v>2688</v>
      </c>
    </row>
    <row r="94" spans="2:12" ht="31.5">
      <c r="B94" s="239" t="str">
        <f>+B93</f>
        <v>F .</v>
      </c>
      <c r="C94" s="240" t="s">
        <v>909</v>
      </c>
      <c r="D94" s="249" t="s">
        <v>1071</v>
      </c>
      <c r="E94" s="257"/>
      <c r="F94" s="289" t="s">
        <v>1072</v>
      </c>
      <c r="G94" s="244" t="s">
        <v>897</v>
      </c>
      <c r="H94" s="429">
        <f>+K94-J94</f>
        <v>465.27286</v>
      </c>
      <c r="I94" s="430">
        <v>0</v>
      </c>
      <c r="J94" s="428">
        <f>0.559*330.46</f>
        <v>184.72714000000002</v>
      </c>
      <c r="K94" s="260">
        <v>650</v>
      </c>
      <c r="L94" s="261">
        <f>+$K94*$L$5</f>
        <v>780</v>
      </c>
    </row>
    <row r="95" spans="2:12" ht="15.75">
      <c r="B95" s="432"/>
      <c r="C95" s="285"/>
      <c r="D95" s="256"/>
      <c r="E95" s="257"/>
      <c r="F95" s="289"/>
      <c r="G95" s="279"/>
      <c r="H95" s="429"/>
      <c r="I95" s="430"/>
      <c r="J95" s="428"/>
      <c r="K95" s="260"/>
      <c r="L95" s="261"/>
    </row>
    <row r="96" spans="2:12" ht="16.5" thickBot="1">
      <c r="B96" s="681"/>
      <c r="C96" s="682"/>
      <c r="D96" s="282"/>
      <c r="E96" s="234"/>
      <c r="F96" s="235"/>
      <c r="G96" s="397"/>
      <c r="H96" s="420"/>
      <c r="I96" s="421"/>
      <c r="J96" s="422"/>
      <c r="K96" s="262"/>
      <c r="L96" s="263"/>
    </row>
    <row r="97" spans="2:12" ht="16.5" thickBot="1">
      <c r="B97" s="681" t="s">
        <v>1073</v>
      </c>
      <c r="C97" s="682"/>
      <c r="D97" s="282"/>
      <c r="E97" s="234"/>
      <c r="F97" s="235" t="s">
        <v>1074</v>
      </c>
      <c r="G97" s="397"/>
      <c r="H97" s="420"/>
      <c r="I97" s="421"/>
      <c r="J97" s="422"/>
      <c r="K97" s="262"/>
      <c r="L97" s="263"/>
    </row>
    <row r="98" spans="2:12" ht="15.75">
      <c r="B98" s="403"/>
      <c r="C98" s="423"/>
      <c r="D98" s="283"/>
      <c r="E98" s="265"/>
      <c r="F98" s="266"/>
      <c r="G98" s="424"/>
      <c r="H98" s="425"/>
      <c r="I98" s="433"/>
      <c r="J98" s="427"/>
      <c r="K98" s="267"/>
      <c r="L98" s="268"/>
    </row>
    <row r="99" spans="2:12" ht="31.5">
      <c r="B99" s="239" t="str">
        <f>+B97</f>
        <v>G .</v>
      </c>
      <c r="C99" s="240" t="s">
        <v>894</v>
      </c>
      <c r="D99" s="241" t="s">
        <v>1075</v>
      </c>
      <c r="E99" s="250"/>
      <c r="F99" s="274" t="s">
        <v>1076</v>
      </c>
      <c r="G99" s="244" t="s">
        <v>901</v>
      </c>
      <c r="H99" s="411">
        <f>3550*1.05</f>
        <v>3727.5</v>
      </c>
      <c r="I99" s="412">
        <f>+K99-(H99+J99)</f>
        <v>1302.0314999999991</v>
      </c>
      <c r="J99" s="431">
        <f>+(2.875*330.46*2.6)+(8500*0.2)</f>
        <v>4170.1885</v>
      </c>
      <c r="K99" s="252">
        <v>9199.72</v>
      </c>
      <c r="L99" s="253">
        <f aca="true" t="shared" si="8" ref="L99:L153">+$K99*$L$5</f>
        <v>11039.663999999999</v>
      </c>
    </row>
    <row r="100" spans="2:12" ht="31.5">
      <c r="B100" s="239" t="str">
        <f>+B99</f>
        <v>G .</v>
      </c>
      <c r="C100" s="240" t="s">
        <v>898</v>
      </c>
      <c r="D100" s="241" t="s">
        <v>1077</v>
      </c>
      <c r="E100" s="250"/>
      <c r="F100" s="274" t="s">
        <v>1078</v>
      </c>
      <c r="G100" s="244" t="s">
        <v>901</v>
      </c>
      <c r="H100" s="411">
        <f>5260*1.05</f>
        <v>5523</v>
      </c>
      <c r="I100" s="412">
        <f>+K100-(H100+J100)</f>
        <v>3333.9060640000007</v>
      </c>
      <c r="J100" s="431">
        <f>+(3.316*330.46*2.6)+(8500*0.2)</f>
        <v>4549.093935999999</v>
      </c>
      <c r="K100" s="252">
        <v>13406</v>
      </c>
      <c r="L100" s="253">
        <f t="shared" si="8"/>
        <v>16087.199999999999</v>
      </c>
    </row>
    <row r="101" spans="2:12" ht="31.5">
      <c r="B101" s="239" t="str">
        <f aca="true" t="shared" si="9" ref="B101:B153">+B100</f>
        <v>G .</v>
      </c>
      <c r="C101" s="240" t="s">
        <v>902</v>
      </c>
      <c r="D101" s="241" t="s">
        <v>1079</v>
      </c>
      <c r="E101" s="250"/>
      <c r="F101" s="274" t="s">
        <v>1080</v>
      </c>
      <c r="G101" s="244" t="s">
        <v>901</v>
      </c>
      <c r="H101" s="411">
        <f>7000*1.05</f>
        <v>7350</v>
      </c>
      <c r="I101" s="412">
        <f>+K101-(H101+J101)</f>
        <v>5181.1528880000005</v>
      </c>
      <c r="J101" s="431">
        <f>+(3.822*330.46*2.6)+(8500*0.2)</f>
        <v>4983.8471119999995</v>
      </c>
      <c r="K101" s="252">
        <v>17515</v>
      </c>
      <c r="L101" s="253">
        <f t="shared" si="8"/>
        <v>21018</v>
      </c>
    </row>
    <row r="102" spans="2:12" ht="31.5">
      <c r="B102" s="239" t="str">
        <f t="shared" si="9"/>
        <v>G .</v>
      </c>
      <c r="C102" s="240" t="s">
        <v>905</v>
      </c>
      <c r="D102" s="241" t="s">
        <v>1081</v>
      </c>
      <c r="E102" s="250"/>
      <c r="F102" s="274" t="s">
        <v>1082</v>
      </c>
      <c r="G102" s="244" t="s">
        <v>901</v>
      </c>
      <c r="H102" s="411">
        <f>10430*1.05</f>
        <v>10951.5</v>
      </c>
      <c r="I102" s="412">
        <f>+K102-(H102+J102)</f>
        <v>5286.2681768</v>
      </c>
      <c r="J102" s="431">
        <f>+J101*1.1</f>
        <v>5482.2318232</v>
      </c>
      <c r="K102" s="252">
        <v>21720</v>
      </c>
      <c r="L102" s="253">
        <f t="shared" si="8"/>
        <v>26064</v>
      </c>
    </row>
    <row r="103" spans="2:12" ht="31.5">
      <c r="B103" s="239" t="str">
        <f t="shared" si="9"/>
        <v>G .</v>
      </c>
      <c r="C103" s="240" t="s">
        <v>909</v>
      </c>
      <c r="D103" s="241" t="s">
        <v>1083</v>
      </c>
      <c r="E103" s="250"/>
      <c r="F103" s="274" t="s">
        <v>1084</v>
      </c>
      <c r="G103" s="244" t="s">
        <v>901</v>
      </c>
      <c r="H103" s="411">
        <f>6000*1.05</f>
        <v>6300</v>
      </c>
      <c r="I103" s="412">
        <v>5181.1528880000005</v>
      </c>
      <c r="J103" s="431">
        <f>+J101</f>
        <v>4983.8471119999995</v>
      </c>
      <c r="K103" s="252">
        <f>+H103+I103+J103</f>
        <v>16465</v>
      </c>
      <c r="L103" s="253">
        <f t="shared" si="8"/>
        <v>19758</v>
      </c>
    </row>
    <row r="104" spans="2:12" ht="31.5">
      <c r="B104" s="239" t="str">
        <f t="shared" si="9"/>
        <v>G .</v>
      </c>
      <c r="C104" s="240" t="s">
        <v>912</v>
      </c>
      <c r="D104" s="241" t="s">
        <v>1085</v>
      </c>
      <c r="E104" s="250"/>
      <c r="F104" s="274" t="s">
        <v>1086</v>
      </c>
      <c r="G104" s="244" t="s">
        <v>901</v>
      </c>
      <c r="H104" s="411">
        <f>10430*1.05</f>
        <v>10951.5</v>
      </c>
      <c r="I104" s="412">
        <v>5286.2681768</v>
      </c>
      <c r="J104" s="431">
        <f>+J102</f>
        <v>5482.2318232</v>
      </c>
      <c r="K104" s="252">
        <f>+H104+I104+J104</f>
        <v>21720</v>
      </c>
      <c r="L104" s="253">
        <f t="shared" si="8"/>
        <v>26064</v>
      </c>
    </row>
    <row r="105" spans="2:12" ht="31.5">
      <c r="B105" s="239" t="str">
        <f t="shared" si="9"/>
        <v>G .</v>
      </c>
      <c r="C105" s="240" t="s">
        <v>914</v>
      </c>
      <c r="D105" s="241" t="s">
        <v>1085</v>
      </c>
      <c r="E105" s="250"/>
      <c r="F105" s="274" t="s">
        <v>1087</v>
      </c>
      <c r="G105" s="244" t="s">
        <v>901</v>
      </c>
      <c r="H105" s="411">
        <f>12850*1.05</f>
        <v>13492.5</v>
      </c>
      <c r="I105" s="412">
        <f>+I104*1.05</f>
        <v>5550.58158564</v>
      </c>
      <c r="J105" s="431">
        <f aca="true" t="shared" si="10" ref="J105:J111">+J104*1.1</f>
        <v>6030.455005520001</v>
      </c>
      <c r="K105" s="252">
        <f>+H105+I105+J105</f>
        <v>25073.536591160002</v>
      </c>
      <c r="L105" s="253">
        <f t="shared" si="8"/>
        <v>30088.243909392</v>
      </c>
    </row>
    <row r="106" spans="2:12" ht="31.5">
      <c r="B106" s="239" t="str">
        <f>+B102</f>
        <v>G .</v>
      </c>
      <c r="C106" s="240" t="s">
        <v>916</v>
      </c>
      <c r="D106" s="241" t="s">
        <v>1088</v>
      </c>
      <c r="E106" s="250"/>
      <c r="F106" s="274" t="s">
        <v>1089</v>
      </c>
      <c r="G106" s="244" t="s">
        <v>901</v>
      </c>
      <c r="H106" s="411">
        <f>14100*1.05</f>
        <v>14805</v>
      </c>
      <c r="I106" s="412">
        <f>+I105*1.05</f>
        <v>5828.110664922001</v>
      </c>
      <c r="J106" s="431">
        <f t="shared" si="10"/>
        <v>6633.500506072001</v>
      </c>
      <c r="K106" s="252">
        <f>+H106+I106+J106</f>
        <v>27266.611170994</v>
      </c>
      <c r="L106" s="253">
        <f t="shared" si="8"/>
        <v>32719.9334051928</v>
      </c>
    </row>
    <row r="107" spans="2:12" ht="31.5">
      <c r="B107" s="239" t="str">
        <f t="shared" si="9"/>
        <v>G .</v>
      </c>
      <c r="C107" s="240" t="s">
        <v>918</v>
      </c>
      <c r="D107" s="241" t="s">
        <v>1090</v>
      </c>
      <c r="E107" s="250"/>
      <c r="F107" s="274" t="s">
        <v>1091</v>
      </c>
      <c r="G107" s="244" t="s">
        <v>901</v>
      </c>
      <c r="H107" s="411">
        <f>17500*1.05</f>
        <v>18375</v>
      </c>
      <c r="I107" s="412">
        <f>+K107-(H107+J107)</f>
        <v>7705.649443320799</v>
      </c>
      <c r="J107" s="431">
        <f t="shared" si="10"/>
        <v>7296.850556679202</v>
      </c>
      <c r="K107" s="252">
        <v>33377.5</v>
      </c>
      <c r="L107" s="253">
        <f t="shared" si="8"/>
        <v>40053</v>
      </c>
    </row>
    <row r="108" spans="2:12" ht="31.5">
      <c r="B108" s="239" t="str">
        <f t="shared" si="9"/>
        <v>G .</v>
      </c>
      <c r="C108" s="240" t="s">
        <v>920</v>
      </c>
      <c r="D108" s="241" t="s">
        <v>1092</v>
      </c>
      <c r="E108" s="250"/>
      <c r="F108" s="274" t="s">
        <v>1093</v>
      </c>
      <c r="G108" s="244" t="s">
        <v>901</v>
      </c>
      <c r="H108" s="411">
        <f>19480*1.05</f>
        <v>20454</v>
      </c>
      <c r="I108" s="412">
        <f>+I107*1.05</f>
        <v>8090.931915486839</v>
      </c>
      <c r="J108" s="431">
        <f t="shared" si="10"/>
        <v>8026.535612347123</v>
      </c>
      <c r="K108" s="252">
        <v>36571.47</v>
      </c>
      <c r="L108" s="253">
        <f t="shared" si="8"/>
        <v>43885.764</v>
      </c>
    </row>
    <row r="109" spans="2:12" ht="31.5">
      <c r="B109" s="239" t="str">
        <f t="shared" si="9"/>
        <v>G .</v>
      </c>
      <c r="C109" s="240" t="s">
        <v>921</v>
      </c>
      <c r="D109" s="241" t="s">
        <v>1094</v>
      </c>
      <c r="E109" s="250"/>
      <c r="F109" s="288" t="s">
        <v>1095</v>
      </c>
      <c r="G109" s="244" t="s">
        <v>901</v>
      </c>
      <c r="H109" s="411">
        <f>28390+1.05</f>
        <v>28391.05</v>
      </c>
      <c r="I109" s="412">
        <f>+K109-(H109+J109)</f>
        <v>11590.760826418162</v>
      </c>
      <c r="J109" s="431">
        <f t="shared" si="10"/>
        <v>8829.189173581835</v>
      </c>
      <c r="K109" s="252">
        <v>48811</v>
      </c>
      <c r="L109" s="253">
        <f t="shared" si="8"/>
        <v>58573.2</v>
      </c>
    </row>
    <row r="110" spans="2:12" ht="31.5">
      <c r="B110" s="239" t="str">
        <f t="shared" si="9"/>
        <v>G .</v>
      </c>
      <c r="C110" s="240" t="s">
        <v>923</v>
      </c>
      <c r="D110" s="241" t="s">
        <v>1092</v>
      </c>
      <c r="E110" s="250"/>
      <c r="F110" s="274" t="s">
        <v>1096</v>
      </c>
      <c r="G110" s="244" t="s">
        <v>901</v>
      </c>
      <c r="H110" s="411">
        <f>33310*1.05</f>
        <v>34975.5</v>
      </c>
      <c r="I110" s="412">
        <f>+I109*1.05</f>
        <v>12170.29886773907</v>
      </c>
      <c r="J110" s="431">
        <f t="shared" si="10"/>
        <v>9712.108090940019</v>
      </c>
      <c r="K110" s="252">
        <f>+H110+I110+J110</f>
        <v>56857.90695867909</v>
      </c>
      <c r="L110" s="253">
        <f t="shared" si="8"/>
        <v>68229.4883504149</v>
      </c>
    </row>
    <row r="111" spans="2:12" ht="31.5">
      <c r="B111" s="239" t="str">
        <f t="shared" si="9"/>
        <v>G .</v>
      </c>
      <c r="C111" s="240" t="s">
        <v>924</v>
      </c>
      <c r="D111" s="241" t="s">
        <v>1094</v>
      </c>
      <c r="E111" s="250"/>
      <c r="F111" s="288" t="s">
        <v>1097</v>
      </c>
      <c r="G111" s="244" t="s">
        <v>901</v>
      </c>
      <c r="H111" s="411">
        <f>38550*1.05</f>
        <v>40477.5</v>
      </c>
      <c r="I111" s="412">
        <f>+I110*1.05</f>
        <v>12778.813811126023</v>
      </c>
      <c r="J111" s="431">
        <f t="shared" si="10"/>
        <v>10683.31890003402</v>
      </c>
      <c r="K111" s="252">
        <f>+H111+I111+J111</f>
        <v>63939.63271116004</v>
      </c>
      <c r="L111" s="253">
        <f t="shared" si="8"/>
        <v>76727.55925339204</v>
      </c>
    </row>
    <row r="112" spans="2:12" ht="31.5">
      <c r="B112" s="239" t="str">
        <f t="shared" si="9"/>
        <v>G .</v>
      </c>
      <c r="C112" s="240" t="s">
        <v>955</v>
      </c>
      <c r="D112" s="241" t="s">
        <v>1098</v>
      </c>
      <c r="E112" s="250"/>
      <c r="F112" s="288" t="s">
        <v>1099</v>
      </c>
      <c r="G112" s="244" t="s">
        <v>901</v>
      </c>
      <c r="H112" s="411">
        <f>+H115*2</f>
        <v>666.6</v>
      </c>
      <c r="I112" s="412">
        <v>300</v>
      </c>
      <c r="J112" s="431">
        <f>0.76*560.78*2.6</f>
        <v>1108.10128</v>
      </c>
      <c r="K112" s="252">
        <v>2074.7</v>
      </c>
      <c r="L112" s="253">
        <f t="shared" si="8"/>
        <v>2489.64</v>
      </c>
    </row>
    <row r="113" spans="2:12" ht="31.5">
      <c r="B113" s="239" t="str">
        <f t="shared" si="9"/>
        <v>G .</v>
      </c>
      <c r="C113" s="240" t="s">
        <v>958</v>
      </c>
      <c r="D113" s="241" t="s">
        <v>1100</v>
      </c>
      <c r="E113" s="250"/>
      <c r="F113" s="288" t="s">
        <v>1101</v>
      </c>
      <c r="G113" s="244" t="s">
        <v>901</v>
      </c>
      <c r="H113" s="411">
        <f>+H115*3</f>
        <v>999.9000000000001</v>
      </c>
      <c r="I113" s="412">
        <v>300</v>
      </c>
      <c r="J113" s="431">
        <f>0.79*560.78*2.6</f>
        <v>1151.84212</v>
      </c>
      <c r="K113" s="252">
        <v>2451.74</v>
      </c>
      <c r="L113" s="253">
        <f t="shared" si="8"/>
        <v>2942.0879999999997</v>
      </c>
    </row>
    <row r="114" spans="2:12" ht="31.5">
      <c r="B114" s="239" t="str">
        <f t="shared" si="9"/>
        <v>G .</v>
      </c>
      <c r="C114" s="240" t="s">
        <v>961</v>
      </c>
      <c r="D114" s="241" t="s">
        <v>1102</v>
      </c>
      <c r="E114" s="250"/>
      <c r="F114" s="288" t="s">
        <v>1103</v>
      </c>
      <c r="G114" s="244" t="s">
        <v>901</v>
      </c>
      <c r="H114" s="411">
        <f>+H115*3.5</f>
        <v>1166.55</v>
      </c>
      <c r="I114" s="412">
        <v>300</v>
      </c>
      <c r="J114" s="431">
        <f>0.82*560.78*2.6</f>
        <v>1195.58296</v>
      </c>
      <c r="K114" s="252">
        <v>2662.13</v>
      </c>
      <c r="L114" s="253">
        <f t="shared" si="8"/>
        <v>3194.556</v>
      </c>
    </row>
    <row r="115" spans="2:12" ht="31.5">
      <c r="B115" s="239" t="str">
        <f t="shared" si="9"/>
        <v>G .</v>
      </c>
      <c r="C115" s="240" t="s">
        <v>964</v>
      </c>
      <c r="D115" s="241" t="s">
        <v>1104</v>
      </c>
      <c r="E115" s="250"/>
      <c r="F115" s="288" t="s">
        <v>1105</v>
      </c>
      <c r="G115" s="244" t="s">
        <v>901</v>
      </c>
      <c r="H115" s="411">
        <f>303*1.1</f>
        <v>333.3</v>
      </c>
      <c r="I115" s="412">
        <v>300</v>
      </c>
      <c r="J115" s="431">
        <f>0.0769*330.46*2.6</f>
        <v>66.0721724</v>
      </c>
      <c r="K115" s="252">
        <v>699.37</v>
      </c>
      <c r="L115" s="253">
        <f t="shared" si="8"/>
        <v>839.244</v>
      </c>
    </row>
    <row r="116" spans="2:12" ht="31.5">
      <c r="B116" s="239" t="str">
        <f t="shared" si="9"/>
        <v>G .</v>
      </c>
      <c r="C116" s="240" t="s">
        <v>967</v>
      </c>
      <c r="D116" s="241" t="s">
        <v>1106</v>
      </c>
      <c r="E116" s="250"/>
      <c r="F116" s="288" t="s">
        <v>679</v>
      </c>
      <c r="G116" s="244" t="s">
        <v>901</v>
      </c>
      <c r="H116" s="411">
        <f>500*1.1</f>
        <v>550</v>
      </c>
      <c r="I116" s="412">
        <v>300</v>
      </c>
      <c r="J116" s="431">
        <f>0.185*330.46*2.6</f>
        <v>158.95126</v>
      </c>
      <c r="K116" s="252">
        <v>1008.95</v>
      </c>
      <c r="L116" s="253">
        <f t="shared" si="8"/>
        <v>1210.74</v>
      </c>
    </row>
    <row r="117" spans="2:12" ht="31.5">
      <c r="B117" s="239" t="str">
        <f t="shared" si="9"/>
        <v>G .</v>
      </c>
      <c r="C117" s="240" t="s">
        <v>970</v>
      </c>
      <c r="D117" s="241" t="s">
        <v>1107</v>
      </c>
      <c r="E117" s="250"/>
      <c r="F117" s="288" t="s">
        <v>680</v>
      </c>
      <c r="G117" s="244" t="s">
        <v>901</v>
      </c>
      <c r="H117" s="411">
        <f>785*1.1</f>
        <v>863.5000000000001</v>
      </c>
      <c r="I117" s="412">
        <v>300</v>
      </c>
      <c r="J117" s="431">
        <f>0.276*330.46*2.6</f>
        <v>237.138096</v>
      </c>
      <c r="K117" s="252">
        <v>1400.64</v>
      </c>
      <c r="L117" s="253">
        <f t="shared" si="8"/>
        <v>1680.768</v>
      </c>
    </row>
    <row r="118" spans="2:12" ht="31.5">
      <c r="B118" s="239" t="str">
        <f t="shared" si="9"/>
        <v>G .</v>
      </c>
      <c r="C118" s="240" t="s">
        <v>973</v>
      </c>
      <c r="D118" s="241" t="s">
        <v>1108</v>
      </c>
      <c r="E118" s="250"/>
      <c r="F118" s="288" t="s">
        <v>1109</v>
      </c>
      <c r="G118" s="244" t="s">
        <v>897</v>
      </c>
      <c r="H118" s="411">
        <f>180*1.05*5</f>
        <v>945</v>
      </c>
      <c r="I118" s="412">
        <v>217.66528000000017</v>
      </c>
      <c r="J118" s="431">
        <f>2.32*330.46*2.6</f>
        <v>1993.3347199999996</v>
      </c>
      <c r="K118" s="252">
        <v>3156</v>
      </c>
      <c r="L118" s="253">
        <f t="shared" si="8"/>
        <v>3787.2</v>
      </c>
    </row>
    <row r="119" spans="2:12" ht="31.5">
      <c r="B119" s="239" t="str">
        <f t="shared" si="9"/>
        <v>G .</v>
      </c>
      <c r="C119" s="240" t="s">
        <v>976</v>
      </c>
      <c r="D119" s="241" t="s">
        <v>1110</v>
      </c>
      <c r="E119" s="250"/>
      <c r="F119" s="288" t="s">
        <v>1111</v>
      </c>
      <c r="G119" s="244" t="s">
        <v>897</v>
      </c>
      <c r="H119" s="411">
        <f>180*1.05*2.5</f>
        <v>472.5</v>
      </c>
      <c r="I119" s="412">
        <v>217.66528000000017</v>
      </c>
      <c r="J119" s="431">
        <f>1.644*330.46*2.6</f>
        <v>1412.518224</v>
      </c>
      <c r="K119" s="252">
        <v>2102.68</v>
      </c>
      <c r="L119" s="253">
        <f t="shared" si="8"/>
        <v>2523.216</v>
      </c>
    </row>
    <row r="120" spans="2:12" ht="31.5">
      <c r="B120" s="239" t="str">
        <f t="shared" si="9"/>
        <v>G .</v>
      </c>
      <c r="C120" s="240" t="s">
        <v>979</v>
      </c>
      <c r="D120" s="249" t="s">
        <v>1112</v>
      </c>
      <c r="E120" s="250"/>
      <c r="F120" s="288" t="s">
        <v>681</v>
      </c>
      <c r="G120" s="244" t="s">
        <v>901</v>
      </c>
      <c r="H120" s="411">
        <f>((270*1.05)*2.5)+300</f>
        <v>1008.75</v>
      </c>
      <c r="I120" s="412">
        <v>294.0647120000001</v>
      </c>
      <c r="J120" s="431">
        <f aca="true" t="shared" si="11" ref="J120:J125">0.578*330.46*2.6</f>
        <v>496.6152879999999</v>
      </c>
      <c r="K120" s="252">
        <v>1799.43</v>
      </c>
      <c r="L120" s="253">
        <f t="shared" si="8"/>
        <v>2159.316</v>
      </c>
    </row>
    <row r="121" spans="2:12" ht="31.5">
      <c r="B121" s="239" t="str">
        <f t="shared" si="9"/>
        <v>G .</v>
      </c>
      <c r="C121" s="240" t="s">
        <v>982</v>
      </c>
      <c r="D121" s="249" t="s">
        <v>1113</v>
      </c>
      <c r="E121" s="250"/>
      <c r="F121" s="288" t="s">
        <v>1114</v>
      </c>
      <c r="G121" s="244" t="s">
        <v>901</v>
      </c>
      <c r="H121" s="411">
        <f>((510*1.05)*1.2)+300</f>
        <v>942.6</v>
      </c>
      <c r="I121" s="412">
        <v>294.0647120000001</v>
      </c>
      <c r="J121" s="431">
        <f t="shared" si="11"/>
        <v>496.6152879999999</v>
      </c>
      <c r="K121" s="252">
        <v>1733.2800000000002</v>
      </c>
      <c r="L121" s="253">
        <f t="shared" si="8"/>
        <v>2079.936</v>
      </c>
    </row>
    <row r="122" spans="2:12" ht="31.5">
      <c r="B122" s="239" t="str">
        <f t="shared" si="9"/>
        <v>G .</v>
      </c>
      <c r="C122" s="240" t="s">
        <v>985</v>
      </c>
      <c r="D122" s="249" t="s">
        <v>1115</v>
      </c>
      <c r="E122" s="250"/>
      <c r="F122" s="288" t="s">
        <v>682</v>
      </c>
      <c r="G122" s="244" t="s">
        <v>901</v>
      </c>
      <c r="H122" s="411">
        <f>((280*1.05)*2.5)+300</f>
        <v>1035</v>
      </c>
      <c r="I122" s="412">
        <v>294.0647120000001</v>
      </c>
      <c r="J122" s="431">
        <f t="shared" si="11"/>
        <v>496.6152879999999</v>
      </c>
      <c r="K122" s="252">
        <v>1825.68</v>
      </c>
      <c r="L122" s="253">
        <f t="shared" si="8"/>
        <v>2190.816</v>
      </c>
    </row>
    <row r="123" spans="2:12" ht="31.5">
      <c r="B123" s="239" t="str">
        <f t="shared" si="9"/>
        <v>G .</v>
      </c>
      <c r="C123" s="240" t="s">
        <v>988</v>
      </c>
      <c r="D123" s="249" t="s">
        <v>1116</v>
      </c>
      <c r="E123" s="250"/>
      <c r="F123" s="288" t="s">
        <v>683</v>
      </c>
      <c r="G123" s="244" t="s">
        <v>901</v>
      </c>
      <c r="H123" s="411">
        <f>((530*1.05)*1.2)+300</f>
        <v>967.8</v>
      </c>
      <c r="I123" s="412">
        <v>294.0647120000001</v>
      </c>
      <c r="J123" s="431">
        <f t="shared" si="11"/>
        <v>496.6152879999999</v>
      </c>
      <c r="K123" s="252">
        <v>1758.48</v>
      </c>
      <c r="L123" s="253">
        <f t="shared" si="8"/>
        <v>2110.176</v>
      </c>
    </row>
    <row r="124" spans="2:12" ht="31.5">
      <c r="B124" s="239" t="str">
        <f t="shared" si="9"/>
        <v>G .</v>
      </c>
      <c r="C124" s="240" t="s">
        <v>991</v>
      </c>
      <c r="D124" s="249" t="s">
        <v>1117</v>
      </c>
      <c r="E124" s="250"/>
      <c r="F124" s="288" t="s">
        <v>684</v>
      </c>
      <c r="G124" s="244" t="s">
        <v>908</v>
      </c>
      <c r="H124" s="411">
        <f>((170*1.05)*2.5)+300</f>
        <v>746.25</v>
      </c>
      <c r="I124" s="412">
        <v>294.0647120000001</v>
      </c>
      <c r="J124" s="431">
        <f t="shared" si="11"/>
        <v>496.6152879999999</v>
      </c>
      <c r="K124" s="252">
        <v>1536.93</v>
      </c>
      <c r="L124" s="253">
        <f t="shared" si="8"/>
        <v>1844.316</v>
      </c>
    </row>
    <row r="125" spans="2:12" ht="31.5">
      <c r="B125" s="239" t="str">
        <f t="shared" si="9"/>
        <v>G .</v>
      </c>
      <c r="C125" s="240" t="s">
        <v>994</v>
      </c>
      <c r="D125" s="249" t="s">
        <v>1118</v>
      </c>
      <c r="E125" s="250"/>
      <c r="F125" s="288" t="s">
        <v>685</v>
      </c>
      <c r="G125" s="244" t="s">
        <v>908</v>
      </c>
      <c r="H125" s="411">
        <f>(290*1.05*1.2)+300</f>
        <v>665.4</v>
      </c>
      <c r="I125" s="412">
        <v>294.0647120000001</v>
      </c>
      <c r="J125" s="431">
        <f t="shared" si="11"/>
        <v>496.6152879999999</v>
      </c>
      <c r="K125" s="252">
        <v>1456.08</v>
      </c>
      <c r="L125" s="253">
        <f t="shared" si="8"/>
        <v>1747.2959999999998</v>
      </c>
    </row>
    <row r="126" spans="2:12" ht="31.5">
      <c r="B126" s="239" t="str">
        <f t="shared" si="9"/>
        <v>G .</v>
      </c>
      <c r="C126" s="240" t="s">
        <v>997</v>
      </c>
      <c r="D126" s="249" t="s">
        <v>1119</v>
      </c>
      <c r="E126" s="250"/>
      <c r="F126" s="288" t="s">
        <v>1120</v>
      </c>
      <c r="G126" s="244" t="s">
        <v>901</v>
      </c>
      <c r="H126" s="411">
        <f>440*1.05*2.5+300</f>
        <v>1455</v>
      </c>
      <c r="I126" s="412">
        <f>+H126*0.15</f>
        <v>218.25</v>
      </c>
      <c r="J126" s="431">
        <f>0.82*560.78*2.6</f>
        <v>1195.58296</v>
      </c>
      <c r="K126" s="252">
        <v>2868.83</v>
      </c>
      <c r="L126" s="253">
        <f t="shared" si="8"/>
        <v>3442.596</v>
      </c>
    </row>
    <row r="127" spans="2:12" ht="31.5">
      <c r="B127" s="239" t="str">
        <f t="shared" si="9"/>
        <v>G .</v>
      </c>
      <c r="C127" s="240" t="s">
        <v>1000</v>
      </c>
      <c r="D127" s="241" t="s">
        <v>1108</v>
      </c>
      <c r="E127" s="250"/>
      <c r="F127" s="288" t="s">
        <v>1121</v>
      </c>
      <c r="G127" s="244" t="s">
        <v>901</v>
      </c>
      <c r="H127" s="411">
        <f>345*1.05*2.5+300</f>
        <v>1205.625</v>
      </c>
      <c r="I127" s="412">
        <f>+H127*0.15</f>
        <v>180.84375</v>
      </c>
      <c r="J127" s="431">
        <f>2.32*330.46*2.6</f>
        <v>1993.3347199999996</v>
      </c>
      <c r="K127" s="252">
        <v>3379.8</v>
      </c>
      <c r="L127" s="253">
        <f t="shared" si="8"/>
        <v>4055.76</v>
      </c>
    </row>
    <row r="128" spans="2:12" ht="31.5">
      <c r="B128" s="239" t="str">
        <f t="shared" si="9"/>
        <v>G .</v>
      </c>
      <c r="C128" s="240" t="s">
        <v>1003</v>
      </c>
      <c r="D128" s="249"/>
      <c r="E128" s="250"/>
      <c r="F128" s="288" t="s">
        <v>1122</v>
      </c>
      <c r="G128" s="244" t="s">
        <v>908</v>
      </c>
      <c r="H128" s="411">
        <f>510*1.05</f>
        <v>535.5</v>
      </c>
      <c r="I128" s="412">
        <f>+H128*0.15</f>
        <v>80.325</v>
      </c>
      <c r="J128" s="431">
        <v>1200</v>
      </c>
      <c r="K128" s="252">
        <v>1815.83</v>
      </c>
      <c r="L128" s="253">
        <f t="shared" si="8"/>
        <v>2178.9959999999996</v>
      </c>
    </row>
    <row r="129" spans="2:12" ht="31.5">
      <c r="B129" s="239" t="str">
        <f t="shared" si="9"/>
        <v>G .</v>
      </c>
      <c r="C129" s="240" t="s">
        <v>1005</v>
      </c>
      <c r="D129" s="249"/>
      <c r="E129" s="250"/>
      <c r="F129" s="288" t="s">
        <v>1123</v>
      </c>
      <c r="G129" s="244" t="s">
        <v>908</v>
      </c>
      <c r="H129" s="411">
        <f>1250*1.05</f>
        <v>1312.5</v>
      </c>
      <c r="I129" s="412">
        <f>+H129*0.15</f>
        <v>196.875</v>
      </c>
      <c r="J129" s="431">
        <f>+H129*1.5</f>
        <v>1968.75</v>
      </c>
      <c r="K129" s="252">
        <v>3478.13</v>
      </c>
      <c r="L129" s="253">
        <f t="shared" si="8"/>
        <v>4173.756</v>
      </c>
    </row>
    <row r="130" spans="2:12" ht="31.5">
      <c r="B130" s="239" t="str">
        <f t="shared" si="9"/>
        <v>G .</v>
      </c>
      <c r="C130" s="240" t="s">
        <v>1008</v>
      </c>
      <c r="D130" s="249"/>
      <c r="E130" s="250"/>
      <c r="F130" s="288" t="s">
        <v>1124</v>
      </c>
      <c r="G130" s="244" t="s">
        <v>908</v>
      </c>
      <c r="H130" s="411">
        <f>1420*1.05</f>
        <v>1491</v>
      </c>
      <c r="I130" s="412">
        <f>+H130*0.15</f>
        <v>223.65</v>
      </c>
      <c r="J130" s="431">
        <f>+H130*1.5</f>
        <v>2236.5</v>
      </c>
      <c r="K130" s="252">
        <v>3951.15</v>
      </c>
      <c r="L130" s="253">
        <f t="shared" si="8"/>
        <v>4741.38</v>
      </c>
    </row>
    <row r="131" spans="2:12" ht="31.5">
      <c r="B131" s="239" t="str">
        <f t="shared" si="9"/>
        <v>G .</v>
      </c>
      <c r="C131" s="240" t="s">
        <v>1011</v>
      </c>
      <c r="D131" s="249"/>
      <c r="E131" s="250"/>
      <c r="F131" s="288" t="s">
        <v>686</v>
      </c>
      <c r="G131" s="244" t="s">
        <v>908</v>
      </c>
      <c r="H131" s="411">
        <v>70000</v>
      </c>
      <c r="I131" s="412">
        <v>10000</v>
      </c>
      <c r="J131" s="431">
        <v>40000</v>
      </c>
      <c r="K131" s="252">
        <v>120000</v>
      </c>
      <c r="L131" s="253">
        <f t="shared" si="8"/>
        <v>144000</v>
      </c>
    </row>
    <row r="132" spans="2:12" ht="31.5">
      <c r="B132" s="239" t="str">
        <f t="shared" si="9"/>
        <v>G .</v>
      </c>
      <c r="C132" s="240" t="s">
        <v>1014</v>
      </c>
      <c r="D132" s="249"/>
      <c r="E132" s="250"/>
      <c r="F132" s="288" t="s">
        <v>687</v>
      </c>
      <c r="G132" s="244" t="s">
        <v>908</v>
      </c>
      <c r="H132" s="411">
        <v>130000</v>
      </c>
      <c r="I132" s="412">
        <v>10000</v>
      </c>
      <c r="J132" s="431">
        <v>60000</v>
      </c>
      <c r="K132" s="252">
        <v>200000</v>
      </c>
      <c r="L132" s="253">
        <f t="shared" si="8"/>
        <v>240000</v>
      </c>
    </row>
    <row r="133" spans="2:12" ht="31.5">
      <c r="B133" s="239" t="str">
        <f t="shared" si="9"/>
        <v>G .</v>
      </c>
      <c r="C133" s="240" t="s">
        <v>1017</v>
      </c>
      <c r="D133" s="249"/>
      <c r="E133" s="250"/>
      <c r="F133" s="288" t="s">
        <v>688</v>
      </c>
      <c r="G133" s="244" t="s">
        <v>908</v>
      </c>
      <c r="H133" s="411">
        <v>180000</v>
      </c>
      <c r="I133" s="412">
        <v>10000</v>
      </c>
      <c r="J133" s="431">
        <v>60000</v>
      </c>
      <c r="K133" s="252">
        <v>250000</v>
      </c>
      <c r="L133" s="253">
        <f t="shared" si="8"/>
        <v>300000</v>
      </c>
    </row>
    <row r="134" spans="2:12" ht="31.5">
      <c r="B134" s="239" t="str">
        <f t="shared" si="9"/>
        <v>G .</v>
      </c>
      <c r="C134" s="240" t="s">
        <v>1020</v>
      </c>
      <c r="D134" s="249" t="s">
        <v>1125</v>
      </c>
      <c r="E134" s="257"/>
      <c r="F134" s="288" t="s">
        <v>689</v>
      </c>
      <c r="G134" s="244" t="s">
        <v>908</v>
      </c>
      <c r="H134" s="429">
        <v>7500</v>
      </c>
      <c r="I134" s="412">
        <v>1200</v>
      </c>
      <c r="J134" s="428">
        <f>1.24*330.46*2.6</f>
        <v>1065.40304</v>
      </c>
      <c r="K134" s="260">
        <v>9765.4</v>
      </c>
      <c r="L134" s="261">
        <f t="shared" si="8"/>
        <v>11718.48</v>
      </c>
    </row>
    <row r="135" spans="2:12" ht="32.25" thickBot="1">
      <c r="B135" s="291" t="str">
        <f t="shared" si="9"/>
        <v>G .</v>
      </c>
      <c r="C135" s="292" t="s">
        <v>1023</v>
      </c>
      <c r="D135" s="342" t="s">
        <v>1125</v>
      </c>
      <c r="E135" s="293"/>
      <c r="F135" s="294" t="s">
        <v>690</v>
      </c>
      <c r="G135" s="295" t="s">
        <v>908</v>
      </c>
      <c r="H135" s="434">
        <v>8700</v>
      </c>
      <c r="I135" s="435">
        <v>1500</v>
      </c>
      <c r="J135" s="436">
        <f>2.178*330.46*2.6</f>
        <v>1871.3288879999998</v>
      </c>
      <c r="K135" s="296">
        <v>12071.33</v>
      </c>
      <c r="L135" s="297">
        <f t="shared" si="8"/>
        <v>14485.596</v>
      </c>
    </row>
    <row r="136" spans="2:12" ht="32.25" thickTop="1">
      <c r="B136" s="298" t="str">
        <f t="shared" si="9"/>
        <v>G .</v>
      </c>
      <c r="C136" s="299" t="s">
        <v>1026</v>
      </c>
      <c r="D136" s="437" t="s">
        <v>1125</v>
      </c>
      <c r="E136" s="300"/>
      <c r="F136" s="301" t="s">
        <v>691</v>
      </c>
      <c r="G136" s="302" t="s">
        <v>908</v>
      </c>
      <c r="H136" s="438">
        <v>10000</v>
      </c>
      <c r="I136" s="439">
        <v>1600</v>
      </c>
      <c r="J136" s="440">
        <f>3.54*330.64*2.6</f>
        <v>3043.21056</v>
      </c>
      <c r="K136" s="303">
        <v>14643.21</v>
      </c>
      <c r="L136" s="304">
        <f t="shared" si="8"/>
        <v>17571.852</v>
      </c>
    </row>
    <row r="137" spans="2:12" ht="31.5">
      <c r="B137" s="239" t="str">
        <f t="shared" si="9"/>
        <v>G .</v>
      </c>
      <c r="C137" s="240" t="s">
        <v>1029</v>
      </c>
      <c r="D137" s="249" t="s">
        <v>1126</v>
      </c>
      <c r="E137" s="257"/>
      <c r="F137" s="288" t="s">
        <v>1127</v>
      </c>
      <c r="G137" s="244" t="s">
        <v>908</v>
      </c>
      <c r="H137" s="429">
        <f>1820*1.05</f>
        <v>1911</v>
      </c>
      <c r="I137" s="430">
        <f>+H137*0.1</f>
        <v>191.10000000000002</v>
      </c>
      <c r="J137" s="428">
        <f>+H137*0.35</f>
        <v>668.8499999999999</v>
      </c>
      <c r="K137" s="260">
        <v>2770.95</v>
      </c>
      <c r="L137" s="261">
        <f t="shared" si="8"/>
        <v>3325.14</v>
      </c>
    </row>
    <row r="138" spans="2:12" ht="31.5">
      <c r="B138" s="239" t="str">
        <f t="shared" si="9"/>
        <v>G .</v>
      </c>
      <c r="C138" s="240" t="s">
        <v>1032</v>
      </c>
      <c r="D138" s="249" t="s">
        <v>1126</v>
      </c>
      <c r="E138" s="257"/>
      <c r="F138" s="288" t="s">
        <v>1128</v>
      </c>
      <c r="G138" s="244" t="s">
        <v>908</v>
      </c>
      <c r="H138" s="429">
        <f>3100*1.05</f>
        <v>3255</v>
      </c>
      <c r="I138" s="430">
        <f aca="true" t="shared" si="12" ref="I138:I145">+H138*0.1</f>
        <v>325.5</v>
      </c>
      <c r="J138" s="428">
        <f>+H138*0.35</f>
        <v>1139.25</v>
      </c>
      <c r="K138" s="260">
        <v>4719.75</v>
      </c>
      <c r="L138" s="261">
        <f t="shared" si="8"/>
        <v>5663.7</v>
      </c>
    </row>
    <row r="139" spans="2:12" ht="31.5">
      <c r="B139" s="239" t="str">
        <f t="shared" si="9"/>
        <v>G .</v>
      </c>
      <c r="C139" s="240" t="s">
        <v>1033</v>
      </c>
      <c r="D139" s="249" t="s">
        <v>1126</v>
      </c>
      <c r="E139" s="257"/>
      <c r="F139" s="288" t="s">
        <v>1129</v>
      </c>
      <c r="G139" s="244" t="s">
        <v>908</v>
      </c>
      <c r="H139" s="429">
        <f>5730*1.05</f>
        <v>6016.5</v>
      </c>
      <c r="I139" s="430">
        <f t="shared" si="12"/>
        <v>601.65</v>
      </c>
      <c r="J139" s="428">
        <f>+H139*0.35</f>
        <v>2105.775</v>
      </c>
      <c r="K139" s="260">
        <v>8723.93</v>
      </c>
      <c r="L139" s="261">
        <f t="shared" si="8"/>
        <v>10468.716</v>
      </c>
    </row>
    <row r="140" spans="2:12" ht="31.5">
      <c r="B140" s="239" t="str">
        <f t="shared" si="9"/>
        <v>G .</v>
      </c>
      <c r="C140" s="240" t="s">
        <v>1130</v>
      </c>
      <c r="D140" s="249" t="s">
        <v>1126</v>
      </c>
      <c r="E140" s="257"/>
      <c r="F140" s="288" t="s">
        <v>1131</v>
      </c>
      <c r="G140" s="244" t="s">
        <v>908</v>
      </c>
      <c r="H140" s="429">
        <f>6400*1.05</f>
        <v>6720</v>
      </c>
      <c r="I140" s="430">
        <f t="shared" si="12"/>
        <v>672</v>
      </c>
      <c r="J140" s="428">
        <f>+H140*1.5</f>
        <v>10080</v>
      </c>
      <c r="K140" s="260">
        <v>17472</v>
      </c>
      <c r="L140" s="261">
        <f t="shared" si="8"/>
        <v>20966.399999999998</v>
      </c>
    </row>
    <row r="141" spans="2:12" ht="31.5">
      <c r="B141" s="239" t="str">
        <f t="shared" si="9"/>
        <v>G .</v>
      </c>
      <c r="C141" s="240" t="s">
        <v>1132</v>
      </c>
      <c r="D141" s="249" t="s">
        <v>1126</v>
      </c>
      <c r="E141" s="257"/>
      <c r="F141" s="288" t="s">
        <v>1133</v>
      </c>
      <c r="G141" s="244" t="s">
        <v>908</v>
      </c>
      <c r="H141" s="429">
        <f>7400*1.05</f>
        <v>7770</v>
      </c>
      <c r="I141" s="430">
        <f t="shared" si="12"/>
        <v>777</v>
      </c>
      <c r="J141" s="428">
        <f>+H141*1.5</f>
        <v>11655</v>
      </c>
      <c r="K141" s="260">
        <v>20202</v>
      </c>
      <c r="L141" s="261">
        <f t="shared" si="8"/>
        <v>24242.399999999998</v>
      </c>
    </row>
    <row r="142" spans="2:12" ht="31.5">
      <c r="B142" s="239" t="str">
        <f t="shared" si="9"/>
        <v>G .</v>
      </c>
      <c r="C142" s="240" t="s">
        <v>1134</v>
      </c>
      <c r="D142" s="249" t="s">
        <v>1126</v>
      </c>
      <c r="E142" s="257"/>
      <c r="F142" s="288" t="s">
        <v>1135</v>
      </c>
      <c r="G142" s="244" t="s">
        <v>908</v>
      </c>
      <c r="H142" s="429">
        <f>3745*1.05</f>
        <v>3932.25</v>
      </c>
      <c r="I142" s="430">
        <f t="shared" si="12"/>
        <v>393.225</v>
      </c>
      <c r="J142" s="428">
        <f>+H142*0.3</f>
        <v>1179.675</v>
      </c>
      <c r="K142" s="260">
        <v>5505.150000000001</v>
      </c>
      <c r="L142" s="261">
        <f t="shared" si="8"/>
        <v>6606.18</v>
      </c>
    </row>
    <row r="143" spans="2:12" ht="31.5">
      <c r="B143" s="239" t="str">
        <f t="shared" si="9"/>
        <v>G .</v>
      </c>
      <c r="C143" s="240" t="s">
        <v>1136</v>
      </c>
      <c r="D143" s="249" t="s">
        <v>1126</v>
      </c>
      <c r="E143" s="257"/>
      <c r="F143" s="288" t="s">
        <v>1137</v>
      </c>
      <c r="G143" s="244" t="s">
        <v>908</v>
      </c>
      <c r="H143" s="429">
        <f>4880*1.05</f>
        <v>5124</v>
      </c>
      <c r="I143" s="430">
        <f t="shared" si="12"/>
        <v>512.4</v>
      </c>
      <c r="J143" s="428">
        <f>+H143*0.3</f>
        <v>1537.2</v>
      </c>
      <c r="K143" s="260">
        <v>7173.599999999999</v>
      </c>
      <c r="L143" s="261">
        <f t="shared" si="8"/>
        <v>8608.32</v>
      </c>
    </row>
    <row r="144" spans="2:12" ht="31.5">
      <c r="B144" s="239" t="str">
        <f t="shared" si="9"/>
        <v>G .</v>
      </c>
      <c r="C144" s="240" t="s">
        <v>1138</v>
      </c>
      <c r="D144" s="256"/>
      <c r="E144" s="257"/>
      <c r="F144" s="288" t="s">
        <v>1139</v>
      </c>
      <c r="G144" s="244" t="s">
        <v>908</v>
      </c>
      <c r="H144" s="429">
        <f>47360*1.05</f>
        <v>49728</v>
      </c>
      <c r="I144" s="430">
        <f t="shared" si="12"/>
        <v>4972.8</v>
      </c>
      <c r="J144" s="428">
        <f>+H144*0.3</f>
        <v>14918.4</v>
      </c>
      <c r="K144" s="260">
        <v>69619.2</v>
      </c>
      <c r="L144" s="261">
        <f t="shared" si="8"/>
        <v>83543.04</v>
      </c>
    </row>
    <row r="145" spans="2:12" ht="31.5">
      <c r="B145" s="239" t="str">
        <f t="shared" si="9"/>
        <v>G .</v>
      </c>
      <c r="C145" s="240" t="s">
        <v>1140</v>
      </c>
      <c r="D145" s="256"/>
      <c r="E145" s="257"/>
      <c r="F145" s="288" t="s">
        <v>1141</v>
      </c>
      <c r="G145" s="244" t="s">
        <v>908</v>
      </c>
      <c r="H145" s="429">
        <f>67700*1.05</f>
        <v>71085</v>
      </c>
      <c r="I145" s="430">
        <f t="shared" si="12"/>
        <v>7108.5</v>
      </c>
      <c r="J145" s="428">
        <f>+H145*0.3</f>
        <v>21325.5</v>
      </c>
      <c r="K145" s="260">
        <v>99519</v>
      </c>
      <c r="L145" s="261">
        <f t="shared" si="8"/>
        <v>119422.79999999999</v>
      </c>
    </row>
    <row r="146" spans="2:12" ht="31.5">
      <c r="B146" s="239" t="str">
        <f t="shared" si="9"/>
        <v>G .</v>
      </c>
      <c r="C146" s="240" t="s">
        <v>1142</v>
      </c>
      <c r="D146" s="249" t="s">
        <v>1143</v>
      </c>
      <c r="E146" s="257"/>
      <c r="F146" s="288" t="s">
        <v>692</v>
      </c>
      <c r="G146" s="244" t="s">
        <v>1046</v>
      </c>
      <c r="H146" s="429">
        <f>130*1.1</f>
        <v>143</v>
      </c>
      <c r="I146" s="430">
        <v>90</v>
      </c>
      <c r="J146" s="428">
        <f>0.08*270.38*2.6</f>
        <v>56.23904</v>
      </c>
      <c r="K146" s="260">
        <v>289.24</v>
      </c>
      <c r="L146" s="261">
        <f t="shared" si="8"/>
        <v>347.088</v>
      </c>
    </row>
    <row r="147" spans="2:12" ht="31.5">
      <c r="B147" s="239" t="str">
        <f t="shared" si="9"/>
        <v>G .</v>
      </c>
      <c r="C147" s="240" t="s">
        <v>1144</v>
      </c>
      <c r="D147" s="249" t="s">
        <v>1145</v>
      </c>
      <c r="E147" s="257"/>
      <c r="F147" s="288" t="s">
        <v>693</v>
      </c>
      <c r="G147" s="244" t="s">
        <v>901</v>
      </c>
      <c r="H147" s="429">
        <f>50*1.1</f>
        <v>55.00000000000001</v>
      </c>
      <c r="I147" s="430">
        <v>50</v>
      </c>
      <c r="J147" s="428">
        <f>0.362*270.38*2.6</f>
        <v>254.481656</v>
      </c>
      <c r="K147" s="260">
        <v>395.09</v>
      </c>
      <c r="L147" s="261">
        <f t="shared" si="8"/>
        <v>474.10799999999995</v>
      </c>
    </row>
    <row r="148" spans="2:12" ht="31.5">
      <c r="B148" s="239" t="str">
        <f t="shared" si="9"/>
        <v>G .</v>
      </c>
      <c r="C148" s="240" t="s">
        <v>1146</v>
      </c>
      <c r="D148" s="249" t="s">
        <v>1147</v>
      </c>
      <c r="E148" s="257"/>
      <c r="F148" s="288" t="s">
        <v>694</v>
      </c>
      <c r="G148" s="244" t="s">
        <v>901</v>
      </c>
      <c r="H148" s="429">
        <f>60*1.1</f>
        <v>66</v>
      </c>
      <c r="I148" s="430">
        <v>50</v>
      </c>
      <c r="J148" s="428">
        <f>0.397*270.38*2.6</f>
        <v>279.08623600000004</v>
      </c>
      <c r="K148" s="260">
        <v>240</v>
      </c>
      <c r="L148" s="261">
        <f t="shared" si="8"/>
        <v>288</v>
      </c>
    </row>
    <row r="149" spans="2:12" ht="31.5">
      <c r="B149" s="239" t="str">
        <f t="shared" si="9"/>
        <v>G .</v>
      </c>
      <c r="C149" s="240" t="s">
        <v>1148</v>
      </c>
      <c r="D149" s="249" t="s">
        <v>1149</v>
      </c>
      <c r="E149" s="257"/>
      <c r="F149" s="288" t="s">
        <v>695</v>
      </c>
      <c r="G149" s="244" t="s">
        <v>901</v>
      </c>
      <c r="H149" s="429">
        <f>85*1.1</f>
        <v>93.50000000000001</v>
      </c>
      <c r="I149" s="430">
        <v>50</v>
      </c>
      <c r="J149" s="428">
        <f>0.432*270.38*2.6</f>
        <v>303.690816</v>
      </c>
      <c r="K149" s="260">
        <v>447.19</v>
      </c>
      <c r="L149" s="261">
        <f t="shared" si="8"/>
        <v>536.6279999999999</v>
      </c>
    </row>
    <row r="150" spans="2:12" ht="31.5">
      <c r="B150" s="239" t="str">
        <f t="shared" si="9"/>
        <v>G .</v>
      </c>
      <c r="C150" s="240" t="s">
        <v>1150</v>
      </c>
      <c r="D150" s="249" t="s">
        <v>1151</v>
      </c>
      <c r="E150" s="257"/>
      <c r="F150" s="288" t="s">
        <v>696</v>
      </c>
      <c r="G150" s="244" t="s">
        <v>901</v>
      </c>
      <c r="H150" s="429">
        <f>130*1.1</f>
        <v>143</v>
      </c>
      <c r="I150" s="430">
        <v>50</v>
      </c>
      <c r="J150" s="428">
        <f>0.651*270.38*2.6</f>
        <v>457.645188</v>
      </c>
      <c r="K150" s="260">
        <v>650.65</v>
      </c>
      <c r="L150" s="261">
        <f t="shared" si="8"/>
        <v>780.78</v>
      </c>
    </row>
    <row r="151" spans="2:12" ht="31.5">
      <c r="B151" s="239" t="str">
        <f t="shared" si="9"/>
        <v>G .</v>
      </c>
      <c r="C151" s="240" t="s">
        <v>1152</v>
      </c>
      <c r="D151" s="249" t="s">
        <v>1147</v>
      </c>
      <c r="E151" s="257"/>
      <c r="F151" s="288" t="s">
        <v>697</v>
      </c>
      <c r="G151" s="244" t="s">
        <v>901</v>
      </c>
      <c r="H151" s="429">
        <f>230*1.1</f>
        <v>253.00000000000003</v>
      </c>
      <c r="I151" s="430">
        <v>50</v>
      </c>
      <c r="J151" s="428">
        <f>0.812*270.38*2.6</f>
        <v>570.8262560000001</v>
      </c>
      <c r="K151" s="260">
        <v>873.83</v>
      </c>
      <c r="L151" s="261">
        <f t="shared" si="8"/>
        <v>1048.596</v>
      </c>
    </row>
    <row r="152" spans="2:12" ht="31.5">
      <c r="B152" s="239" t="str">
        <f t="shared" si="9"/>
        <v>G .</v>
      </c>
      <c r="C152" s="240" t="s">
        <v>1153</v>
      </c>
      <c r="D152" s="249" t="s">
        <v>1154</v>
      </c>
      <c r="E152" s="257"/>
      <c r="F152" s="288" t="s">
        <v>1155</v>
      </c>
      <c r="G152" s="287" t="s">
        <v>1064</v>
      </c>
      <c r="H152" s="429">
        <f>160*1.1</f>
        <v>176</v>
      </c>
      <c r="I152" s="430">
        <v>120</v>
      </c>
      <c r="J152" s="428">
        <f>0.063*560.78*2.6</f>
        <v>91.855764</v>
      </c>
      <c r="K152" s="260">
        <v>387.86</v>
      </c>
      <c r="L152" s="261">
        <f t="shared" si="8"/>
        <v>465.432</v>
      </c>
    </row>
    <row r="153" spans="2:12" ht="31.5">
      <c r="B153" s="239" t="str">
        <f t="shared" si="9"/>
        <v>G .</v>
      </c>
      <c r="C153" s="240" t="s">
        <v>1156</v>
      </c>
      <c r="D153" s="249" t="s">
        <v>1157</v>
      </c>
      <c r="E153" s="257"/>
      <c r="F153" s="288" t="s">
        <v>1158</v>
      </c>
      <c r="G153" s="279" t="s">
        <v>1159</v>
      </c>
      <c r="H153" s="429">
        <f>((1012*1.1)/10)+200+90</f>
        <v>401.32</v>
      </c>
      <c r="I153" s="430">
        <v>90</v>
      </c>
      <c r="J153" s="428">
        <f>0.3*330.46*2.6</f>
        <v>257.7588</v>
      </c>
      <c r="K153" s="260">
        <v>749.08</v>
      </c>
      <c r="L153" s="261">
        <f t="shared" si="8"/>
        <v>898.8960000000001</v>
      </c>
    </row>
    <row r="154" spans="2:12" ht="15.75">
      <c r="B154" s="432"/>
      <c r="C154" s="285"/>
      <c r="D154" s="256"/>
      <c r="E154" s="257"/>
      <c r="F154" s="289"/>
      <c r="G154" s="259"/>
      <c r="H154" s="417"/>
      <c r="I154" s="418"/>
      <c r="J154" s="419"/>
      <c r="K154" s="260"/>
      <c r="L154" s="261"/>
    </row>
    <row r="155" spans="2:12" ht="16.5" thickBot="1">
      <c r="B155" s="681" t="s">
        <v>1160</v>
      </c>
      <c r="C155" s="682"/>
      <c r="D155" s="233"/>
      <c r="E155" s="234"/>
      <c r="F155" s="235" t="s">
        <v>1161</v>
      </c>
      <c r="G155" s="397"/>
      <c r="H155" s="420"/>
      <c r="I155" s="421"/>
      <c r="J155" s="422"/>
      <c r="K155" s="262"/>
      <c r="L155" s="263"/>
    </row>
    <row r="156" spans="2:12" ht="15.75">
      <c r="B156" s="305"/>
      <c r="C156" s="306"/>
      <c r="D156" s="307"/>
      <c r="E156" s="308"/>
      <c r="F156" s="309"/>
      <c r="G156" s="307"/>
      <c r="H156" s="441"/>
      <c r="I156" s="441"/>
      <c r="J156" s="441"/>
      <c r="K156" s="310"/>
      <c r="L156" s="311"/>
    </row>
    <row r="157" spans="2:12" ht="31.5">
      <c r="B157" s="312" t="s">
        <v>1160</v>
      </c>
      <c r="C157" s="313" t="s">
        <v>894</v>
      </c>
      <c r="D157" s="314" t="s">
        <v>1162</v>
      </c>
      <c r="E157" s="314"/>
      <c r="F157" s="135" t="s">
        <v>1163</v>
      </c>
      <c r="G157" s="315" t="s">
        <v>1046</v>
      </c>
      <c r="H157" s="442">
        <v>85</v>
      </c>
      <c r="I157" s="442">
        <v>45</v>
      </c>
      <c r="J157" s="442">
        <v>176</v>
      </c>
      <c r="K157" s="136">
        <f>H157+I157+J157</f>
        <v>306</v>
      </c>
      <c r="L157" s="316">
        <f>K157*1.2</f>
        <v>367.2</v>
      </c>
    </row>
    <row r="158" spans="2:12" ht="15.75">
      <c r="B158" s="312" t="s">
        <v>1160</v>
      </c>
      <c r="C158" s="313" t="s">
        <v>898</v>
      </c>
      <c r="D158" s="314" t="s">
        <v>1164</v>
      </c>
      <c r="E158" s="314"/>
      <c r="F158" s="135" t="s">
        <v>1165</v>
      </c>
      <c r="G158" s="315" t="s">
        <v>1046</v>
      </c>
      <c r="H158" s="442">
        <v>130</v>
      </c>
      <c r="I158" s="442">
        <v>45</v>
      </c>
      <c r="J158" s="442">
        <v>288</v>
      </c>
      <c r="K158" s="136">
        <f>H158+I158+J158</f>
        <v>463</v>
      </c>
      <c r="L158" s="316">
        <f>K158*1.2</f>
        <v>555.6</v>
      </c>
    </row>
    <row r="159" spans="2:12" ht="15.75">
      <c r="B159" s="443"/>
      <c r="C159" s="317"/>
      <c r="D159" s="314"/>
      <c r="E159" s="314"/>
      <c r="F159" s="135"/>
      <c r="G159" s="318"/>
      <c r="H159" s="442"/>
      <c r="I159" s="442"/>
      <c r="J159" s="442"/>
      <c r="K159" s="136"/>
      <c r="L159" s="316"/>
    </row>
    <row r="160" spans="2:12" ht="16.5" thickBot="1">
      <c r="B160" s="681" t="s">
        <v>1166</v>
      </c>
      <c r="C160" s="682"/>
      <c r="D160" s="233"/>
      <c r="E160" s="234"/>
      <c r="F160" s="235" t="s">
        <v>1167</v>
      </c>
      <c r="G160" s="397"/>
      <c r="H160" s="420"/>
      <c r="I160" s="421"/>
      <c r="J160" s="422"/>
      <c r="K160" s="262"/>
      <c r="L160" s="263"/>
    </row>
    <row r="161" spans="2:12" ht="15.75">
      <c r="B161" s="403"/>
      <c r="C161" s="423"/>
      <c r="D161" s="264"/>
      <c r="E161" s="265"/>
      <c r="F161" s="266"/>
      <c r="G161" s="424"/>
      <c r="H161" s="425"/>
      <c r="I161" s="426"/>
      <c r="J161" s="427"/>
      <c r="K161" s="267"/>
      <c r="L161" s="268"/>
    </row>
    <row r="162" spans="2:12" ht="15.75">
      <c r="B162" s="239" t="str">
        <f>+B160</f>
        <v>I .</v>
      </c>
      <c r="C162" s="240" t="s">
        <v>894</v>
      </c>
      <c r="D162" s="241" t="s">
        <v>1168</v>
      </c>
      <c r="E162" s="242" t="s">
        <v>1169</v>
      </c>
      <c r="F162" s="269" t="s">
        <v>698</v>
      </c>
      <c r="G162" s="244" t="s">
        <v>897</v>
      </c>
      <c r="H162" s="414">
        <v>0</v>
      </c>
      <c r="I162" s="415">
        <v>0</v>
      </c>
      <c r="J162" s="413">
        <f aca="true" t="shared" si="13" ref="J162:J180">+K162-(H162+I162)</f>
        <v>11.73</v>
      </c>
      <c r="K162" s="245">
        <v>11.73</v>
      </c>
      <c r="L162" s="246">
        <f aca="true" t="shared" si="14" ref="L162:L180">+$K162*$L$5</f>
        <v>14.076</v>
      </c>
    </row>
    <row r="163" spans="2:12" ht="15.75">
      <c r="B163" s="239" t="str">
        <f>+B162</f>
        <v>I .</v>
      </c>
      <c r="C163" s="240" t="s">
        <v>898</v>
      </c>
      <c r="D163" s="241" t="s">
        <v>1170</v>
      </c>
      <c r="E163" s="242" t="s">
        <v>1171</v>
      </c>
      <c r="F163" s="269" t="s">
        <v>699</v>
      </c>
      <c r="G163" s="244" t="s">
        <v>897</v>
      </c>
      <c r="H163" s="414">
        <v>0</v>
      </c>
      <c r="I163" s="415">
        <v>0</v>
      </c>
      <c r="J163" s="413">
        <f t="shared" si="13"/>
        <v>29.33</v>
      </c>
      <c r="K163" s="245">
        <v>29.33</v>
      </c>
      <c r="L163" s="246">
        <f t="shared" si="14"/>
        <v>35.196</v>
      </c>
    </row>
    <row r="164" spans="2:12" ht="15.75">
      <c r="B164" s="239" t="str">
        <f aca="true" t="shared" si="15" ref="B164:B180">+B163</f>
        <v>I .</v>
      </c>
      <c r="C164" s="240" t="s">
        <v>902</v>
      </c>
      <c r="D164" s="241" t="s">
        <v>1172</v>
      </c>
      <c r="E164" s="242" t="s">
        <v>1173</v>
      </c>
      <c r="F164" s="269" t="s">
        <v>700</v>
      </c>
      <c r="G164" s="244" t="s">
        <v>897</v>
      </c>
      <c r="H164" s="414">
        <v>0</v>
      </c>
      <c r="I164" s="415">
        <v>0</v>
      </c>
      <c r="J164" s="413">
        <f t="shared" si="13"/>
        <v>35.19</v>
      </c>
      <c r="K164" s="245">
        <v>35.19</v>
      </c>
      <c r="L164" s="246">
        <f t="shared" si="14"/>
        <v>42.227999999999994</v>
      </c>
    </row>
    <row r="165" spans="2:12" ht="15.75">
      <c r="B165" s="239" t="str">
        <f t="shared" si="15"/>
        <v>I .</v>
      </c>
      <c r="C165" s="240" t="s">
        <v>905</v>
      </c>
      <c r="D165" s="241" t="s">
        <v>1174</v>
      </c>
      <c r="E165" s="242" t="s">
        <v>1175</v>
      </c>
      <c r="F165" s="269" t="s">
        <v>701</v>
      </c>
      <c r="G165" s="244" t="s">
        <v>897</v>
      </c>
      <c r="H165" s="414">
        <v>0</v>
      </c>
      <c r="I165" s="415">
        <v>0</v>
      </c>
      <c r="J165" s="413">
        <f t="shared" si="13"/>
        <v>58.66</v>
      </c>
      <c r="K165" s="245">
        <v>58.66</v>
      </c>
      <c r="L165" s="246">
        <f t="shared" si="14"/>
        <v>70.392</v>
      </c>
    </row>
    <row r="166" spans="2:12" ht="31.5">
      <c r="B166" s="239" t="str">
        <f t="shared" si="15"/>
        <v>I .</v>
      </c>
      <c r="C166" s="240" t="s">
        <v>909</v>
      </c>
      <c r="D166" s="241" t="s">
        <v>1176</v>
      </c>
      <c r="E166" s="242" t="s">
        <v>1177</v>
      </c>
      <c r="F166" s="269" t="s">
        <v>702</v>
      </c>
      <c r="G166" s="244" t="s">
        <v>897</v>
      </c>
      <c r="H166" s="414">
        <v>0</v>
      </c>
      <c r="I166" s="415">
        <v>0</v>
      </c>
      <c r="J166" s="413">
        <f t="shared" si="13"/>
        <v>2.18</v>
      </c>
      <c r="K166" s="245">
        <v>2.18</v>
      </c>
      <c r="L166" s="246">
        <f t="shared" si="14"/>
        <v>2.616</v>
      </c>
    </row>
    <row r="167" spans="2:12" ht="15.75">
      <c r="B167" s="239" t="str">
        <f t="shared" si="15"/>
        <v>I .</v>
      </c>
      <c r="C167" s="240" t="s">
        <v>912</v>
      </c>
      <c r="D167" s="241" t="s">
        <v>1178</v>
      </c>
      <c r="E167" s="242" t="s">
        <v>1179</v>
      </c>
      <c r="F167" s="269" t="s">
        <v>703</v>
      </c>
      <c r="G167" s="244" t="s">
        <v>897</v>
      </c>
      <c r="H167" s="411">
        <v>5</v>
      </c>
      <c r="I167" s="412">
        <v>0</v>
      </c>
      <c r="J167" s="431">
        <f t="shared" si="13"/>
        <v>3.7699999999999996</v>
      </c>
      <c r="K167" s="272">
        <v>8.77</v>
      </c>
      <c r="L167" s="273">
        <f t="shared" si="14"/>
        <v>10.524</v>
      </c>
    </row>
    <row r="168" spans="2:12" ht="15.75">
      <c r="B168" s="239" t="str">
        <f t="shared" si="15"/>
        <v>I .</v>
      </c>
      <c r="C168" s="240" t="s">
        <v>914</v>
      </c>
      <c r="D168" s="241" t="s">
        <v>1180</v>
      </c>
      <c r="E168" s="242" t="s">
        <v>1181</v>
      </c>
      <c r="F168" s="269" t="s">
        <v>704</v>
      </c>
      <c r="G168" s="244" t="s">
        <v>897</v>
      </c>
      <c r="H168" s="411">
        <v>5</v>
      </c>
      <c r="I168" s="412">
        <v>0</v>
      </c>
      <c r="J168" s="431">
        <f t="shared" si="13"/>
        <v>5.24</v>
      </c>
      <c r="K168" s="245">
        <v>10.24</v>
      </c>
      <c r="L168" s="246">
        <f t="shared" si="14"/>
        <v>12.288</v>
      </c>
    </row>
    <row r="169" spans="2:12" ht="31.5">
      <c r="B169" s="239" t="str">
        <f t="shared" si="15"/>
        <v>I .</v>
      </c>
      <c r="C169" s="240" t="s">
        <v>916</v>
      </c>
      <c r="D169" s="241" t="s">
        <v>1182</v>
      </c>
      <c r="E169" s="242" t="s">
        <v>1183</v>
      </c>
      <c r="F169" s="269" t="s">
        <v>705</v>
      </c>
      <c r="G169" s="247" t="s">
        <v>908</v>
      </c>
      <c r="H169" s="414">
        <v>0</v>
      </c>
      <c r="I169" s="415">
        <v>0</v>
      </c>
      <c r="J169" s="413">
        <f t="shared" si="13"/>
        <v>324.7</v>
      </c>
      <c r="K169" s="245">
        <v>324.7</v>
      </c>
      <c r="L169" s="246">
        <f t="shared" si="14"/>
        <v>389.64</v>
      </c>
    </row>
    <row r="170" spans="2:12" ht="31.5">
      <c r="B170" s="239" t="str">
        <f t="shared" si="15"/>
        <v>I .</v>
      </c>
      <c r="C170" s="240" t="s">
        <v>918</v>
      </c>
      <c r="D170" s="241" t="s">
        <v>1184</v>
      </c>
      <c r="E170" s="242" t="s">
        <v>1185</v>
      </c>
      <c r="F170" s="269" t="s">
        <v>706</v>
      </c>
      <c r="G170" s="247" t="s">
        <v>908</v>
      </c>
      <c r="H170" s="414">
        <v>0</v>
      </c>
      <c r="I170" s="415">
        <v>0</v>
      </c>
      <c r="J170" s="413">
        <f t="shared" si="13"/>
        <v>602.85</v>
      </c>
      <c r="K170" s="245">
        <v>602.85</v>
      </c>
      <c r="L170" s="246">
        <f t="shared" si="14"/>
        <v>723.42</v>
      </c>
    </row>
    <row r="171" spans="2:12" ht="31.5">
      <c r="B171" s="239" t="str">
        <f t="shared" si="15"/>
        <v>I .</v>
      </c>
      <c r="C171" s="240" t="s">
        <v>920</v>
      </c>
      <c r="D171" s="241" t="s">
        <v>1186</v>
      </c>
      <c r="E171" s="242" t="s">
        <v>1187</v>
      </c>
      <c r="F171" s="269" t="s">
        <v>707</v>
      </c>
      <c r="G171" s="247" t="s">
        <v>908</v>
      </c>
      <c r="H171" s="414">
        <v>0</v>
      </c>
      <c r="I171" s="415">
        <v>0</v>
      </c>
      <c r="J171" s="413">
        <f t="shared" si="13"/>
        <v>1458.18</v>
      </c>
      <c r="K171" s="245">
        <v>1458.18</v>
      </c>
      <c r="L171" s="246">
        <f t="shared" si="14"/>
        <v>1749.816</v>
      </c>
    </row>
    <row r="172" spans="2:12" ht="31.5">
      <c r="B172" s="239" t="str">
        <f t="shared" si="15"/>
        <v>I .</v>
      </c>
      <c r="C172" s="240" t="s">
        <v>921</v>
      </c>
      <c r="D172" s="241" t="s">
        <v>1188</v>
      </c>
      <c r="E172" s="242" t="s">
        <v>1189</v>
      </c>
      <c r="F172" s="269" t="s">
        <v>708</v>
      </c>
      <c r="G172" s="247" t="s">
        <v>908</v>
      </c>
      <c r="H172" s="414">
        <v>0</v>
      </c>
      <c r="I172" s="415">
        <v>0</v>
      </c>
      <c r="J172" s="413">
        <f t="shared" si="13"/>
        <v>2686.58</v>
      </c>
      <c r="K172" s="245">
        <v>2686.58</v>
      </c>
      <c r="L172" s="246">
        <f t="shared" si="14"/>
        <v>3223.8959999999997</v>
      </c>
    </row>
    <row r="173" spans="2:12" ht="15.75">
      <c r="B173" s="239" t="str">
        <f t="shared" si="15"/>
        <v>I .</v>
      </c>
      <c r="C173" s="240" t="s">
        <v>923</v>
      </c>
      <c r="D173" s="241" t="s">
        <v>1190</v>
      </c>
      <c r="E173" s="242" t="s">
        <v>1191</v>
      </c>
      <c r="F173" s="269" t="s">
        <v>709</v>
      </c>
      <c r="G173" s="247" t="s">
        <v>908</v>
      </c>
      <c r="H173" s="414">
        <v>0</v>
      </c>
      <c r="I173" s="415">
        <v>0</v>
      </c>
      <c r="J173" s="413">
        <f t="shared" si="13"/>
        <v>821.18</v>
      </c>
      <c r="K173" s="245">
        <v>821.18</v>
      </c>
      <c r="L173" s="246">
        <f t="shared" si="14"/>
        <v>985.4159999999999</v>
      </c>
    </row>
    <row r="174" spans="2:12" ht="15.75">
      <c r="B174" s="239" t="str">
        <f t="shared" si="15"/>
        <v>I .</v>
      </c>
      <c r="C174" s="240" t="s">
        <v>924</v>
      </c>
      <c r="D174" s="241" t="s">
        <v>1192</v>
      </c>
      <c r="E174" s="242" t="s">
        <v>1193</v>
      </c>
      <c r="F174" s="269" t="s">
        <v>710</v>
      </c>
      <c r="G174" s="247" t="s">
        <v>908</v>
      </c>
      <c r="H174" s="414">
        <v>0</v>
      </c>
      <c r="I174" s="415">
        <v>0</v>
      </c>
      <c r="J174" s="413">
        <f t="shared" si="13"/>
        <v>1290.42</v>
      </c>
      <c r="K174" s="245">
        <v>1290.42</v>
      </c>
      <c r="L174" s="246">
        <f t="shared" si="14"/>
        <v>1548.5040000000001</v>
      </c>
    </row>
    <row r="175" spans="2:12" ht="15.75">
      <c r="B175" s="239" t="str">
        <f t="shared" si="15"/>
        <v>I .</v>
      </c>
      <c r="C175" s="240" t="s">
        <v>955</v>
      </c>
      <c r="D175" s="241" t="s">
        <v>1194</v>
      </c>
      <c r="E175" s="242" t="s">
        <v>1195</v>
      </c>
      <c r="F175" s="269" t="s">
        <v>711</v>
      </c>
      <c r="G175" s="247" t="s">
        <v>908</v>
      </c>
      <c r="H175" s="414">
        <v>0</v>
      </c>
      <c r="I175" s="415">
        <v>0</v>
      </c>
      <c r="J175" s="413">
        <f t="shared" si="13"/>
        <v>3519.33</v>
      </c>
      <c r="K175" s="245">
        <v>3519.33</v>
      </c>
      <c r="L175" s="246">
        <f t="shared" si="14"/>
        <v>4223.196</v>
      </c>
    </row>
    <row r="176" spans="2:12" ht="15.75">
      <c r="B176" s="239" t="str">
        <f t="shared" si="15"/>
        <v>I .</v>
      </c>
      <c r="C176" s="240" t="s">
        <v>958</v>
      </c>
      <c r="D176" s="241" t="s">
        <v>1196</v>
      </c>
      <c r="E176" s="242" t="s">
        <v>1197</v>
      </c>
      <c r="F176" s="269" t="s">
        <v>712</v>
      </c>
      <c r="G176" s="247" t="s">
        <v>908</v>
      </c>
      <c r="H176" s="414">
        <v>0</v>
      </c>
      <c r="I176" s="415">
        <v>0</v>
      </c>
      <c r="J176" s="413">
        <f t="shared" si="13"/>
        <v>8798.33</v>
      </c>
      <c r="K176" s="245">
        <v>8798.33</v>
      </c>
      <c r="L176" s="246">
        <f t="shared" si="14"/>
        <v>10557.996</v>
      </c>
    </row>
    <row r="177" spans="2:12" ht="15.75">
      <c r="B177" s="239" t="str">
        <f t="shared" si="15"/>
        <v>I .</v>
      </c>
      <c r="C177" s="240" t="s">
        <v>961</v>
      </c>
      <c r="D177" s="241" t="s">
        <v>1198</v>
      </c>
      <c r="E177" s="242" t="s">
        <v>1199</v>
      </c>
      <c r="F177" s="269" t="s">
        <v>713</v>
      </c>
      <c r="G177" s="244" t="s">
        <v>897</v>
      </c>
      <c r="H177" s="414">
        <v>0</v>
      </c>
      <c r="I177" s="415">
        <v>0</v>
      </c>
      <c r="J177" s="413">
        <f t="shared" si="13"/>
        <v>821.18</v>
      </c>
      <c r="K177" s="245">
        <v>821.18</v>
      </c>
      <c r="L177" s="246">
        <f t="shared" si="14"/>
        <v>985.4159999999999</v>
      </c>
    </row>
    <row r="178" spans="2:12" ht="15.75">
      <c r="B178" s="239" t="str">
        <f t="shared" si="15"/>
        <v>I .</v>
      </c>
      <c r="C178" s="240" t="s">
        <v>964</v>
      </c>
      <c r="D178" s="241" t="s">
        <v>1200</v>
      </c>
      <c r="E178" s="242" t="s">
        <v>1201</v>
      </c>
      <c r="F178" s="286" t="s">
        <v>714</v>
      </c>
      <c r="G178" s="244" t="s">
        <v>897</v>
      </c>
      <c r="H178" s="414">
        <v>0</v>
      </c>
      <c r="I178" s="415">
        <v>0</v>
      </c>
      <c r="J178" s="413">
        <f t="shared" si="13"/>
        <v>1290.42</v>
      </c>
      <c r="K178" s="245">
        <v>1290.42</v>
      </c>
      <c r="L178" s="246">
        <f t="shared" si="14"/>
        <v>1548.5040000000001</v>
      </c>
    </row>
    <row r="179" spans="2:12" ht="15.75">
      <c r="B179" s="239" t="str">
        <f t="shared" si="15"/>
        <v>I .</v>
      </c>
      <c r="C179" s="240" t="s">
        <v>967</v>
      </c>
      <c r="D179" s="241" t="s">
        <v>1202</v>
      </c>
      <c r="E179" s="250"/>
      <c r="F179" s="254" t="s">
        <v>715</v>
      </c>
      <c r="G179" s="244" t="s">
        <v>897</v>
      </c>
      <c r="H179" s="414">
        <v>0</v>
      </c>
      <c r="I179" s="415">
        <v>0</v>
      </c>
      <c r="J179" s="413">
        <f t="shared" si="13"/>
        <v>22.36</v>
      </c>
      <c r="K179" s="252">
        <v>22.36</v>
      </c>
      <c r="L179" s="253">
        <f t="shared" si="14"/>
        <v>26.831999999999997</v>
      </c>
    </row>
    <row r="180" spans="2:12" ht="15.75">
      <c r="B180" s="239" t="str">
        <f t="shared" si="15"/>
        <v>I .</v>
      </c>
      <c r="C180" s="240" t="s">
        <v>970</v>
      </c>
      <c r="D180" s="249"/>
      <c r="E180" s="250"/>
      <c r="F180" s="254" t="s">
        <v>716</v>
      </c>
      <c r="G180" s="244" t="s">
        <v>897</v>
      </c>
      <c r="H180" s="414">
        <v>0</v>
      </c>
      <c r="I180" s="415">
        <v>0</v>
      </c>
      <c r="J180" s="413">
        <f t="shared" si="13"/>
        <v>52.5</v>
      </c>
      <c r="K180" s="252">
        <v>52.5</v>
      </c>
      <c r="L180" s="253">
        <f t="shared" si="14"/>
        <v>63</v>
      </c>
    </row>
    <row r="181" spans="2:12" ht="16.5" thickBot="1">
      <c r="B181" s="681" t="s">
        <v>1203</v>
      </c>
      <c r="C181" s="682"/>
      <c r="D181" s="282"/>
      <c r="E181" s="234"/>
      <c r="F181" s="319" t="s">
        <v>1204</v>
      </c>
      <c r="G181" s="320"/>
      <c r="H181" s="444"/>
      <c r="I181" s="445"/>
      <c r="J181" s="446"/>
      <c r="K181" s="262"/>
      <c r="L181" s="263"/>
    </row>
    <row r="182" spans="2:12" ht="15.75">
      <c r="B182" s="403"/>
      <c r="C182" s="321"/>
      <c r="D182" s="283"/>
      <c r="E182" s="265"/>
      <c r="F182" s="322"/>
      <c r="G182" s="323"/>
      <c r="H182" s="447"/>
      <c r="I182" s="448"/>
      <c r="J182" s="449"/>
      <c r="K182" s="267"/>
      <c r="L182" s="268"/>
    </row>
    <row r="183" spans="2:12" ht="31.5">
      <c r="B183" s="239" t="str">
        <f>+B181</f>
        <v>J .</v>
      </c>
      <c r="C183" s="240" t="s">
        <v>894</v>
      </c>
      <c r="D183" s="241" t="s">
        <v>1205</v>
      </c>
      <c r="E183" s="242" t="s">
        <v>1206</v>
      </c>
      <c r="F183" s="286" t="s">
        <v>717</v>
      </c>
      <c r="G183" s="247" t="s">
        <v>908</v>
      </c>
      <c r="H183" s="414">
        <f>+(K183-J183)*0.9</f>
        <v>10731.275784</v>
      </c>
      <c r="I183" s="415">
        <f>+K183-(H183+J183)</f>
        <v>1192.3639760000005</v>
      </c>
      <c r="J183" s="413">
        <f>+(0.2+0.38+0.4+1.1+0.4)*270.38*2.6</f>
        <v>1743.41024</v>
      </c>
      <c r="K183" s="245">
        <v>13667.05</v>
      </c>
      <c r="L183" s="246">
        <f aca="true" t="shared" si="16" ref="L183:L190">+$K183*$L$5</f>
        <v>16400.46</v>
      </c>
    </row>
    <row r="184" spans="2:12" ht="31.5">
      <c r="B184" s="239" t="str">
        <f>+B183</f>
        <v>J .</v>
      </c>
      <c r="C184" s="240" t="s">
        <v>898</v>
      </c>
      <c r="D184" s="241" t="s">
        <v>1205</v>
      </c>
      <c r="E184" s="242"/>
      <c r="F184" s="286" t="s">
        <v>718</v>
      </c>
      <c r="G184" s="247" t="s">
        <v>908</v>
      </c>
      <c r="H184" s="414">
        <f>+(K184-J184)*0.9</f>
        <v>8080.976928</v>
      </c>
      <c r="I184" s="415">
        <f>+K184-(H184+J184)</f>
        <v>897.8863253333329</v>
      </c>
      <c r="J184" s="413">
        <f>+((0.2+0.38+0.4+1.1+0.4)*270.38*2.6)/3</f>
        <v>581.1367466666667</v>
      </c>
      <c r="K184" s="245">
        <v>9560</v>
      </c>
      <c r="L184" s="246">
        <f t="shared" si="16"/>
        <v>11472</v>
      </c>
    </row>
    <row r="185" spans="2:12" ht="31.5">
      <c r="B185" s="239" t="str">
        <f aca="true" t="shared" si="17" ref="B185:B190">+B184</f>
        <v>J .</v>
      </c>
      <c r="C185" s="240" t="s">
        <v>902</v>
      </c>
      <c r="D185" s="241" t="s">
        <v>1207</v>
      </c>
      <c r="E185" s="242"/>
      <c r="F185" s="286" t="s">
        <v>719</v>
      </c>
      <c r="G185" s="244" t="s">
        <v>930</v>
      </c>
      <c r="H185" s="411">
        <f>+K185-(I185+J185)</f>
        <v>2661.9623519999986</v>
      </c>
      <c r="I185" s="412">
        <f>+I190</f>
        <v>3154.44</v>
      </c>
      <c r="J185" s="431">
        <f>12.988*330.46*2.6</f>
        <v>11159.237648</v>
      </c>
      <c r="K185" s="245">
        <v>16975.64</v>
      </c>
      <c r="L185" s="246">
        <f t="shared" si="16"/>
        <v>20370.768</v>
      </c>
    </row>
    <row r="186" spans="2:12" ht="31.5">
      <c r="B186" s="239" t="str">
        <f t="shared" si="17"/>
        <v>J .</v>
      </c>
      <c r="C186" s="240" t="s">
        <v>905</v>
      </c>
      <c r="D186" s="241" t="s">
        <v>1208</v>
      </c>
      <c r="E186" s="324"/>
      <c r="F186" s="288" t="s">
        <v>720</v>
      </c>
      <c r="G186" s="244" t="s">
        <v>897</v>
      </c>
      <c r="H186" s="411">
        <f>+(0.35*1730)+200</f>
        <v>805.5</v>
      </c>
      <c r="I186" s="412">
        <f>+H186*0.1</f>
        <v>80.55000000000001</v>
      </c>
      <c r="J186" s="431">
        <f>11.039*330.46*2.6*0.2*2</f>
        <v>3793.8658576</v>
      </c>
      <c r="K186" s="252">
        <v>4679.92</v>
      </c>
      <c r="L186" s="253">
        <f t="shared" si="16"/>
        <v>5615.9039999999995</v>
      </c>
    </row>
    <row r="187" spans="2:12" ht="15.75">
      <c r="B187" s="239" t="str">
        <f t="shared" si="17"/>
        <v>J .</v>
      </c>
      <c r="C187" s="240" t="s">
        <v>909</v>
      </c>
      <c r="D187" s="249" t="s">
        <v>1209</v>
      </c>
      <c r="E187" s="250"/>
      <c r="F187" s="254" t="s">
        <v>721</v>
      </c>
      <c r="G187" s="244" t="s">
        <v>897</v>
      </c>
      <c r="H187" s="411">
        <f>+K187-J187</f>
        <v>89.37062400000008</v>
      </c>
      <c r="I187" s="412">
        <v>0</v>
      </c>
      <c r="J187" s="431">
        <f>+(0.3+0.171+0.081)*270.38*2.6</f>
        <v>388.04937599999994</v>
      </c>
      <c r="K187" s="252">
        <v>477.42</v>
      </c>
      <c r="L187" s="253">
        <f t="shared" si="16"/>
        <v>572.904</v>
      </c>
    </row>
    <row r="188" spans="2:12" ht="15.75">
      <c r="B188" s="239" t="str">
        <f t="shared" si="17"/>
        <v>J .</v>
      </c>
      <c r="C188" s="240" t="s">
        <v>912</v>
      </c>
      <c r="D188" s="249"/>
      <c r="E188" s="250"/>
      <c r="F188" s="254" t="s">
        <v>722</v>
      </c>
      <c r="G188" s="244" t="s">
        <v>930</v>
      </c>
      <c r="H188" s="411">
        <v>1730</v>
      </c>
      <c r="I188" s="412">
        <f>1577.22*2</f>
        <v>3154.44</v>
      </c>
      <c r="J188" s="413">
        <f>+K188-(H188+I188)</f>
        <v>615.5599999999995</v>
      </c>
      <c r="K188" s="252">
        <v>5500</v>
      </c>
      <c r="L188" s="253">
        <f t="shared" si="16"/>
        <v>6600</v>
      </c>
    </row>
    <row r="189" spans="2:12" ht="15.75">
      <c r="B189" s="239" t="str">
        <f t="shared" si="17"/>
        <v>J .</v>
      </c>
      <c r="C189" s="240" t="s">
        <v>914</v>
      </c>
      <c r="D189" s="249" t="s">
        <v>1210</v>
      </c>
      <c r="E189" s="250"/>
      <c r="F189" s="254" t="s">
        <v>723</v>
      </c>
      <c r="G189" s="244" t="s">
        <v>897</v>
      </c>
      <c r="H189" s="411">
        <v>173</v>
      </c>
      <c r="I189" s="412">
        <f>+K189-(J189+H189)</f>
        <v>79.63791518462597</v>
      </c>
      <c r="J189" s="431">
        <v>297.36208481537403</v>
      </c>
      <c r="K189" s="252">
        <v>550</v>
      </c>
      <c r="L189" s="253">
        <f t="shared" si="16"/>
        <v>660</v>
      </c>
    </row>
    <row r="190" spans="2:12" ht="15.75">
      <c r="B190" s="239" t="str">
        <f t="shared" si="17"/>
        <v>J .</v>
      </c>
      <c r="C190" s="240" t="s">
        <v>916</v>
      </c>
      <c r="D190" s="249"/>
      <c r="E190" s="250"/>
      <c r="F190" s="254" t="s">
        <v>724</v>
      </c>
      <c r="G190" s="244" t="s">
        <v>930</v>
      </c>
      <c r="H190" s="411">
        <v>1630</v>
      </c>
      <c r="I190" s="412">
        <f>+I188</f>
        <v>3154.44</v>
      </c>
      <c r="J190" s="413">
        <f>+K190-(H190+I190)</f>
        <v>1715.5599999999995</v>
      </c>
      <c r="K190" s="252">
        <v>6500</v>
      </c>
      <c r="L190" s="253">
        <f t="shared" si="16"/>
        <v>7800</v>
      </c>
    </row>
    <row r="191" spans="2:12" ht="15.75">
      <c r="B191" s="432"/>
      <c r="C191" s="285"/>
      <c r="D191" s="256"/>
      <c r="E191" s="257"/>
      <c r="F191" s="325"/>
      <c r="G191" s="279"/>
      <c r="H191" s="429"/>
      <c r="I191" s="430"/>
      <c r="J191" s="428"/>
      <c r="K191" s="260"/>
      <c r="L191" s="261"/>
    </row>
    <row r="192" spans="2:12" ht="16.5" thickBot="1">
      <c r="B192" s="681" t="s">
        <v>1211</v>
      </c>
      <c r="C192" s="682"/>
      <c r="D192" s="282"/>
      <c r="E192" s="234"/>
      <c r="F192" s="319" t="s">
        <v>1212</v>
      </c>
      <c r="G192" s="320"/>
      <c r="H192" s="444"/>
      <c r="I192" s="445"/>
      <c r="J192" s="446"/>
      <c r="K192" s="262"/>
      <c r="L192" s="263"/>
    </row>
    <row r="193" spans="2:12" ht="15.75">
      <c r="B193" s="403"/>
      <c r="C193" s="326"/>
      <c r="D193" s="283"/>
      <c r="E193" s="265"/>
      <c r="F193" s="322"/>
      <c r="G193" s="323"/>
      <c r="H193" s="447"/>
      <c r="I193" s="448"/>
      <c r="J193" s="449"/>
      <c r="K193" s="267"/>
      <c r="L193" s="268"/>
    </row>
    <row r="194" spans="2:12" ht="31.5">
      <c r="B194" s="239" t="str">
        <f>+B192</f>
        <v>K .</v>
      </c>
      <c r="C194" s="240" t="s">
        <v>894</v>
      </c>
      <c r="D194" s="241" t="s">
        <v>1213</v>
      </c>
      <c r="E194" s="242" t="s">
        <v>1214</v>
      </c>
      <c r="F194" s="286" t="s">
        <v>725</v>
      </c>
      <c r="G194" s="244" t="s">
        <v>930</v>
      </c>
      <c r="H194" s="414">
        <v>0</v>
      </c>
      <c r="I194" s="415">
        <v>0</v>
      </c>
      <c r="J194" s="413">
        <f>+K194-(H194+I194)</f>
        <v>932.62</v>
      </c>
      <c r="K194" s="245">
        <v>932.62</v>
      </c>
      <c r="L194" s="246">
        <f aca="true" t="shared" si="18" ref="L194:L210">+$K194*$L$5</f>
        <v>1119.144</v>
      </c>
    </row>
    <row r="195" spans="2:12" ht="31.5">
      <c r="B195" s="239" t="str">
        <f>+B194</f>
        <v>K .</v>
      </c>
      <c r="C195" s="240" t="s">
        <v>898</v>
      </c>
      <c r="D195" s="241" t="s">
        <v>1215</v>
      </c>
      <c r="E195" s="242" t="s">
        <v>1216</v>
      </c>
      <c r="F195" s="286" t="s">
        <v>726</v>
      </c>
      <c r="G195" s="244" t="s">
        <v>930</v>
      </c>
      <c r="H195" s="414">
        <v>0</v>
      </c>
      <c r="I195" s="415">
        <v>0</v>
      </c>
      <c r="J195" s="413">
        <f>+K195-(H195+I195)</f>
        <v>1061.67</v>
      </c>
      <c r="K195" s="245">
        <v>1061.67</v>
      </c>
      <c r="L195" s="246">
        <f t="shared" si="18"/>
        <v>1274.0040000000001</v>
      </c>
    </row>
    <row r="196" spans="2:12" ht="15.75">
      <c r="B196" s="239" t="str">
        <f aca="true" t="shared" si="19" ref="B196:B210">+B195</f>
        <v>K .</v>
      </c>
      <c r="C196" s="240" t="s">
        <v>902</v>
      </c>
      <c r="D196" s="241" t="s">
        <v>1217</v>
      </c>
      <c r="E196" s="242" t="s">
        <v>1218</v>
      </c>
      <c r="F196" s="286" t="s">
        <v>727</v>
      </c>
      <c r="G196" s="244" t="s">
        <v>930</v>
      </c>
      <c r="H196" s="414">
        <v>0</v>
      </c>
      <c r="I196" s="415">
        <v>0</v>
      </c>
      <c r="J196" s="413">
        <f aca="true" t="shared" si="20" ref="J196:J210">+K196-(H196+I196)</f>
        <v>973.68</v>
      </c>
      <c r="K196" s="245">
        <v>973.68</v>
      </c>
      <c r="L196" s="246">
        <f t="shared" si="18"/>
        <v>1168.416</v>
      </c>
    </row>
    <row r="197" spans="2:12" ht="15.75">
      <c r="B197" s="239" t="str">
        <f t="shared" si="19"/>
        <v>K .</v>
      </c>
      <c r="C197" s="240" t="s">
        <v>905</v>
      </c>
      <c r="D197" s="241" t="s">
        <v>1219</v>
      </c>
      <c r="E197" s="242" t="s">
        <v>1220</v>
      </c>
      <c r="F197" s="286" t="s">
        <v>728</v>
      </c>
      <c r="G197" s="244" t="s">
        <v>930</v>
      </c>
      <c r="H197" s="414">
        <v>0</v>
      </c>
      <c r="I197" s="415">
        <v>0</v>
      </c>
      <c r="J197" s="413">
        <f t="shared" si="20"/>
        <v>1008.88</v>
      </c>
      <c r="K197" s="245">
        <v>1008.88</v>
      </c>
      <c r="L197" s="246">
        <f t="shared" si="18"/>
        <v>1210.656</v>
      </c>
    </row>
    <row r="198" spans="2:12" ht="15.75">
      <c r="B198" s="239" t="str">
        <f t="shared" si="19"/>
        <v>K .</v>
      </c>
      <c r="C198" s="240" t="s">
        <v>909</v>
      </c>
      <c r="D198" s="241" t="s">
        <v>1221</v>
      </c>
      <c r="E198" s="242" t="s">
        <v>1222</v>
      </c>
      <c r="F198" s="269" t="s">
        <v>729</v>
      </c>
      <c r="G198" s="244" t="s">
        <v>930</v>
      </c>
      <c r="H198" s="414">
        <v>0</v>
      </c>
      <c r="I198" s="415">
        <v>0</v>
      </c>
      <c r="J198" s="413">
        <f t="shared" si="20"/>
        <v>1460.52</v>
      </c>
      <c r="K198" s="245">
        <v>1460.52</v>
      </c>
      <c r="L198" s="246">
        <f t="shared" si="18"/>
        <v>1752.624</v>
      </c>
    </row>
    <row r="199" spans="2:12" ht="15.75">
      <c r="B199" s="239" t="str">
        <f t="shared" si="19"/>
        <v>K .</v>
      </c>
      <c r="C199" s="240" t="s">
        <v>912</v>
      </c>
      <c r="D199" s="241" t="s">
        <v>1223</v>
      </c>
      <c r="E199" s="242" t="s">
        <v>1224</v>
      </c>
      <c r="F199" s="269" t="s">
        <v>730</v>
      </c>
      <c r="G199" s="244" t="s">
        <v>930</v>
      </c>
      <c r="H199" s="414">
        <v>0</v>
      </c>
      <c r="I199" s="415">
        <v>0</v>
      </c>
      <c r="J199" s="413">
        <f t="shared" si="20"/>
        <v>1061.67</v>
      </c>
      <c r="K199" s="245">
        <v>1061.67</v>
      </c>
      <c r="L199" s="246">
        <f t="shared" si="18"/>
        <v>1274.0040000000001</v>
      </c>
    </row>
    <row r="200" spans="2:12" ht="15.75">
      <c r="B200" s="239" t="str">
        <f t="shared" si="19"/>
        <v>K .</v>
      </c>
      <c r="C200" s="240" t="s">
        <v>914</v>
      </c>
      <c r="D200" s="241" t="s">
        <v>1205</v>
      </c>
      <c r="E200" s="242" t="s">
        <v>1225</v>
      </c>
      <c r="F200" s="269" t="s">
        <v>731</v>
      </c>
      <c r="G200" s="244" t="s">
        <v>930</v>
      </c>
      <c r="H200" s="414">
        <v>0</v>
      </c>
      <c r="I200" s="415">
        <v>0</v>
      </c>
      <c r="J200" s="413">
        <f t="shared" si="20"/>
        <v>1454.66</v>
      </c>
      <c r="K200" s="245">
        <v>1454.66</v>
      </c>
      <c r="L200" s="246">
        <f t="shared" si="18"/>
        <v>1745.592</v>
      </c>
    </row>
    <row r="201" spans="2:12" ht="15.75">
      <c r="B201" s="239" t="str">
        <f t="shared" si="19"/>
        <v>K .</v>
      </c>
      <c r="C201" s="240" t="s">
        <v>916</v>
      </c>
      <c r="D201" s="241" t="s">
        <v>1226</v>
      </c>
      <c r="E201" s="242" t="s">
        <v>1227</v>
      </c>
      <c r="F201" s="269" t="s">
        <v>732</v>
      </c>
      <c r="G201" s="244" t="s">
        <v>930</v>
      </c>
      <c r="H201" s="414">
        <v>0</v>
      </c>
      <c r="I201" s="415">
        <v>0</v>
      </c>
      <c r="J201" s="413">
        <f t="shared" si="20"/>
        <v>1178.98</v>
      </c>
      <c r="K201" s="245">
        <v>1178.98</v>
      </c>
      <c r="L201" s="246">
        <f t="shared" si="18"/>
        <v>1414.776</v>
      </c>
    </row>
    <row r="202" spans="2:12" ht="31.5">
      <c r="B202" s="239" t="str">
        <f t="shared" si="19"/>
        <v>K .</v>
      </c>
      <c r="C202" s="240" t="s">
        <v>918</v>
      </c>
      <c r="D202" s="241" t="s">
        <v>1228</v>
      </c>
      <c r="E202" s="242" t="s">
        <v>1229</v>
      </c>
      <c r="F202" s="269" t="s">
        <v>1230</v>
      </c>
      <c r="G202" s="244" t="s">
        <v>930</v>
      </c>
      <c r="H202" s="414">
        <v>0</v>
      </c>
      <c r="I202" s="415">
        <v>0</v>
      </c>
      <c r="J202" s="413">
        <f t="shared" si="20"/>
        <v>1108.59</v>
      </c>
      <c r="K202" s="245">
        <v>1108.59</v>
      </c>
      <c r="L202" s="246">
        <f t="shared" si="18"/>
        <v>1330.3079999999998</v>
      </c>
    </row>
    <row r="203" spans="2:12" ht="31.5">
      <c r="B203" s="239" t="str">
        <f t="shared" si="19"/>
        <v>K .</v>
      </c>
      <c r="C203" s="240" t="s">
        <v>920</v>
      </c>
      <c r="D203" s="241" t="s">
        <v>1231</v>
      </c>
      <c r="E203" s="242" t="s">
        <v>1232</v>
      </c>
      <c r="F203" s="269" t="s">
        <v>1233</v>
      </c>
      <c r="G203" s="244" t="s">
        <v>930</v>
      </c>
      <c r="H203" s="414">
        <v>0</v>
      </c>
      <c r="I203" s="415">
        <v>0</v>
      </c>
      <c r="J203" s="413">
        <f t="shared" si="20"/>
        <v>926.76</v>
      </c>
      <c r="K203" s="245">
        <v>926.76</v>
      </c>
      <c r="L203" s="246">
        <f t="shared" si="18"/>
        <v>1112.1119999999999</v>
      </c>
    </row>
    <row r="204" spans="2:12" ht="31.5">
      <c r="B204" s="239" t="str">
        <f t="shared" si="19"/>
        <v>K .</v>
      </c>
      <c r="C204" s="240" t="s">
        <v>921</v>
      </c>
      <c r="D204" s="241" t="s">
        <v>1234</v>
      </c>
      <c r="E204" s="242" t="s">
        <v>1235</v>
      </c>
      <c r="F204" s="269" t="s">
        <v>733</v>
      </c>
      <c r="G204" s="244" t="s">
        <v>930</v>
      </c>
      <c r="H204" s="414">
        <v>0</v>
      </c>
      <c r="I204" s="415">
        <v>0</v>
      </c>
      <c r="J204" s="413">
        <f t="shared" si="20"/>
        <v>375.4</v>
      </c>
      <c r="K204" s="245">
        <v>375.4</v>
      </c>
      <c r="L204" s="246">
        <f t="shared" si="18"/>
        <v>450.47999999999996</v>
      </c>
    </row>
    <row r="205" spans="2:12" ht="31.5">
      <c r="B205" s="239" t="str">
        <f t="shared" si="19"/>
        <v>K .</v>
      </c>
      <c r="C205" s="240" t="s">
        <v>923</v>
      </c>
      <c r="D205" s="241" t="s">
        <v>1236</v>
      </c>
      <c r="E205" s="242" t="s">
        <v>1237</v>
      </c>
      <c r="F205" s="269" t="s">
        <v>734</v>
      </c>
      <c r="G205" s="244" t="s">
        <v>930</v>
      </c>
      <c r="H205" s="414">
        <v>0</v>
      </c>
      <c r="I205" s="415">
        <v>0</v>
      </c>
      <c r="J205" s="413">
        <f t="shared" si="20"/>
        <v>434.05</v>
      </c>
      <c r="K205" s="245">
        <v>434.05</v>
      </c>
      <c r="L205" s="246">
        <f t="shared" si="18"/>
        <v>520.86</v>
      </c>
    </row>
    <row r="206" spans="2:12" ht="31.5">
      <c r="B206" s="239" t="str">
        <f t="shared" si="19"/>
        <v>K .</v>
      </c>
      <c r="C206" s="240" t="s">
        <v>924</v>
      </c>
      <c r="D206" s="241" t="s">
        <v>1238</v>
      </c>
      <c r="E206" s="242" t="s">
        <v>1239</v>
      </c>
      <c r="F206" s="269" t="s">
        <v>735</v>
      </c>
      <c r="G206" s="244" t="s">
        <v>930</v>
      </c>
      <c r="H206" s="414">
        <v>0</v>
      </c>
      <c r="I206" s="415">
        <v>0</v>
      </c>
      <c r="J206" s="413">
        <f t="shared" si="20"/>
        <v>862.24</v>
      </c>
      <c r="K206" s="272">
        <v>862.24</v>
      </c>
      <c r="L206" s="273">
        <f t="shared" si="18"/>
        <v>1034.6879999999999</v>
      </c>
    </row>
    <row r="207" spans="2:12" ht="15.75">
      <c r="B207" s="239" t="str">
        <f t="shared" si="19"/>
        <v>K .</v>
      </c>
      <c r="C207" s="240" t="s">
        <v>955</v>
      </c>
      <c r="D207" s="241" t="s">
        <v>1240</v>
      </c>
      <c r="E207" s="242" t="s">
        <v>1241</v>
      </c>
      <c r="F207" s="269" t="s">
        <v>736</v>
      </c>
      <c r="G207" s="244" t="s">
        <v>930</v>
      </c>
      <c r="H207" s="414">
        <v>0</v>
      </c>
      <c r="I207" s="415">
        <v>0</v>
      </c>
      <c r="J207" s="413">
        <f t="shared" si="20"/>
        <v>340.2</v>
      </c>
      <c r="K207" s="245">
        <v>340.2</v>
      </c>
      <c r="L207" s="246">
        <f t="shared" si="18"/>
        <v>408.23999999999995</v>
      </c>
    </row>
    <row r="208" spans="2:12" ht="15.75">
      <c r="B208" s="239" t="str">
        <f t="shared" si="19"/>
        <v>K .</v>
      </c>
      <c r="C208" s="240" t="s">
        <v>958</v>
      </c>
      <c r="D208" s="241" t="s">
        <v>1242</v>
      </c>
      <c r="E208" s="242" t="s">
        <v>1243</v>
      </c>
      <c r="F208" s="269" t="s">
        <v>737</v>
      </c>
      <c r="G208" s="244" t="s">
        <v>930</v>
      </c>
      <c r="H208" s="414">
        <v>0</v>
      </c>
      <c r="I208" s="415">
        <v>0</v>
      </c>
      <c r="J208" s="413">
        <f t="shared" si="20"/>
        <v>434.05</v>
      </c>
      <c r="K208" s="245">
        <v>434.05</v>
      </c>
      <c r="L208" s="246">
        <f t="shared" si="18"/>
        <v>520.86</v>
      </c>
    </row>
    <row r="209" spans="2:12" ht="15.75">
      <c r="B209" s="239" t="str">
        <f t="shared" si="19"/>
        <v>K .</v>
      </c>
      <c r="C209" s="240" t="s">
        <v>961</v>
      </c>
      <c r="D209" s="241" t="s">
        <v>1244</v>
      </c>
      <c r="E209" s="242" t="s">
        <v>1245</v>
      </c>
      <c r="F209" s="269" t="s">
        <v>738</v>
      </c>
      <c r="G209" s="244" t="s">
        <v>930</v>
      </c>
      <c r="H209" s="414">
        <v>0</v>
      </c>
      <c r="I209" s="415">
        <v>0</v>
      </c>
      <c r="J209" s="413">
        <f t="shared" si="20"/>
        <v>434.05</v>
      </c>
      <c r="K209" s="245">
        <v>434.05</v>
      </c>
      <c r="L209" s="246">
        <f t="shared" si="18"/>
        <v>520.86</v>
      </c>
    </row>
    <row r="210" spans="2:12" ht="15.75">
      <c r="B210" s="239" t="str">
        <f t="shared" si="19"/>
        <v>K .</v>
      </c>
      <c r="C210" s="240" t="s">
        <v>964</v>
      </c>
      <c r="D210" s="241" t="s">
        <v>1246</v>
      </c>
      <c r="E210" s="242" t="s">
        <v>1247</v>
      </c>
      <c r="F210" s="269" t="s">
        <v>739</v>
      </c>
      <c r="G210" s="247" t="s">
        <v>1248</v>
      </c>
      <c r="H210" s="414">
        <v>0</v>
      </c>
      <c r="I210" s="415">
        <v>0</v>
      </c>
      <c r="J210" s="413">
        <f t="shared" si="20"/>
        <v>1266.96</v>
      </c>
      <c r="K210" s="245">
        <v>1266.96</v>
      </c>
      <c r="L210" s="246">
        <f t="shared" si="18"/>
        <v>1520.352</v>
      </c>
    </row>
    <row r="211" spans="2:12" ht="15.75">
      <c r="B211" s="432"/>
      <c r="C211" s="285"/>
      <c r="D211" s="276"/>
      <c r="E211" s="277"/>
      <c r="F211" s="327"/>
      <c r="G211" s="259"/>
      <c r="H211" s="417"/>
      <c r="I211" s="418"/>
      <c r="J211" s="419"/>
      <c r="K211" s="280"/>
      <c r="L211" s="281"/>
    </row>
    <row r="212" spans="2:12" ht="16.5" thickBot="1">
      <c r="B212" s="681" t="s">
        <v>1249</v>
      </c>
      <c r="C212" s="682"/>
      <c r="D212" s="233"/>
      <c r="E212" s="234" t="s">
        <v>1250</v>
      </c>
      <c r="F212" s="319" t="s">
        <v>1251</v>
      </c>
      <c r="G212" s="397"/>
      <c r="H212" s="420"/>
      <c r="I212" s="421"/>
      <c r="J212" s="422"/>
      <c r="K212" s="262"/>
      <c r="L212" s="263"/>
    </row>
    <row r="213" spans="2:12" ht="15.75">
      <c r="B213" s="403"/>
      <c r="C213" s="423"/>
      <c r="D213" s="264"/>
      <c r="E213" s="265"/>
      <c r="F213" s="322"/>
      <c r="G213" s="424"/>
      <c r="H213" s="425"/>
      <c r="I213" s="426"/>
      <c r="J213" s="427"/>
      <c r="K213" s="267"/>
      <c r="L213" s="268"/>
    </row>
    <row r="214" spans="2:12" ht="15.75">
      <c r="B214" s="239" t="str">
        <f>+B212</f>
        <v>L .</v>
      </c>
      <c r="C214" s="240" t="s">
        <v>894</v>
      </c>
      <c r="D214" s="241" t="s">
        <v>1252</v>
      </c>
      <c r="E214" s="242" t="s">
        <v>1253</v>
      </c>
      <c r="F214" s="328" t="s">
        <v>740</v>
      </c>
      <c r="G214" s="247" t="s">
        <v>1254</v>
      </c>
      <c r="H214" s="414">
        <v>0</v>
      </c>
      <c r="I214" s="415">
        <v>0</v>
      </c>
      <c r="J214" s="413">
        <f aca="true" t="shared" si="21" ref="J214:J248">+K214-(H214+I214)</f>
        <v>7036.71</v>
      </c>
      <c r="K214" s="245">
        <v>7036.71</v>
      </c>
      <c r="L214" s="246">
        <f aca="true" t="shared" si="22" ref="L214:L248">+$K214*$L$5</f>
        <v>8444.052</v>
      </c>
    </row>
    <row r="215" spans="2:12" ht="15.75">
      <c r="B215" s="239" t="str">
        <f>+B214</f>
        <v>L .</v>
      </c>
      <c r="C215" s="240" t="s">
        <v>898</v>
      </c>
      <c r="D215" s="241" t="s">
        <v>1255</v>
      </c>
      <c r="E215" s="242" t="s">
        <v>1256</v>
      </c>
      <c r="F215" s="328" t="s">
        <v>741</v>
      </c>
      <c r="G215" s="247" t="s">
        <v>1254</v>
      </c>
      <c r="H215" s="414">
        <v>0</v>
      </c>
      <c r="I215" s="415">
        <v>0</v>
      </c>
      <c r="J215" s="413">
        <f t="shared" si="21"/>
        <v>8332.63</v>
      </c>
      <c r="K215" s="245">
        <v>8332.63</v>
      </c>
      <c r="L215" s="246">
        <f t="shared" si="22"/>
        <v>9999.155999999999</v>
      </c>
    </row>
    <row r="216" spans="2:12" ht="15.75">
      <c r="B216" s="239" t="str">
        <f aca="true" t="shared" si="23" ref="B216:B248">+B215</f>
        <v>L .</v>
      </c>
      <c r="C216" s="240" t="s">
        <v>902</v>
      </c>
      <c r="D216" s="241" t="s">
        <v>1257</v>
      </c>
      <c r="E216" s="242" t="s">
        <v>1258</v>
      </c>
      <c r="F216" s="328" t="s">
        <v>742</v>
      </c>
      <c r="G216" s="247" t="s">
        <v>1254</v>
      </c>
      <c r="H216" s="414">
        <v>0</v>
      </c>
      <c r="I216" s="415">
        <v>0</v>
      </c>
      <c r="J216" s="413">
        <f t="shared" si="21"/>
        <v>6138.71</v>
      </c>
      <c r="K216" s="245">
        <v>6138.71</v>
      </c>
      <c r="L216" s="246">
        <f t="shared" si="22"/>
        <v>7366.452</v>
      </c>
    </row>
    <row r="217" spans="2:12" ht="15.75">
      <c r="B217" s="239" t="str">
        <f t="shared" si="23"/>
        <v>L .</v>
      </c>
      <c r="C217" s="240" t="s">
        <v>905</v>
      </c>
      <c r="D217" s="241" t="s">
        <v>1259</v>
      </c>
      <c r="E217" s="242" t="s">
        <v>1260</v>
      </c>
      <c r="F217" s="328" t="s">
        <v>743</v>
      </c>
      <c r="G217" s="247" t="s">
        <v>1254</v>
      </c>
      <c r="H217" s="414">
        <v>0</v>
      </c>
      <c r="I217" s="415">
        <v>0</v>
      </c>
      <c r="J217" s="413">
        <f t="shared" si="21"/>
        <v>8045.35</v>
      </c>
      <c r="K217" s="245">
        <v>8045.35</v>
      </c>
      <c r="L217" s="246">
        <f t="shared" si="22"/>
        <v>9654.42</v>
      </c>
    </row>
    <row r="218" spans="2:12" ht="15.75">
      <c r="B218" s="239" t="str">
        <f t="shared" si="23"/>
        <v>L .</v>
      </c>
      <c r="C218" s="240" t="s">
        <v>909</v>
      </c>
      <c r="D218" s="241" t="s">
        <v>1261</v>
      </c>
      <c r="E218" s="242" t="s">
        <v>1262</v>
      </c>
      <c r="F218" s="328" t="s">
        <v>744</v>
      </c>
      <c r="G218" s="247" t="s">
        <v>1254</v>
      </c>
      <c r="H218" s="414">
        <v>0</v>
      </c>
      <c r="I218" s="415">
        <v>0</v>
      </c>
      <c r="J218" s="413">
        <f t="shared" si="21"/>
        <v>8574.17</v>
      </c>
      <c r="K218" s="245">
        <v>8574.17</v>
      </c>
      <c r="L218" s="246">
        <f t="shared" si="22"/>
        <v>10289.003999999999</v>
      </c>
    </row>
    <row r="219" spans="2:12" ht="15.75">
      <c r="B219" s="239" t="str">
        <f t="shared" si="23"/>
        <v>L .</v>
      </c>
      <c r="C219" s="240" t="s">
        <v>912</v>
      </c>
      <c r="D219" s="249"/>
      <c r="E219" s="250"/>
      <c r="F219" s="254" t="s">
        <v>745</v>
      </c>
      <c r="G219" s="244" t="s">
        <v>1254</v>
      </c>
      <c r="H219" s="414">
        <v>0</v>
      </c>
      <c r="I219" s="415">
        <v>0</v>
      </c>
      <c r="J219" s="413">
        <f t="shared" si="21"/>
        <v>6850</v>
      </c>
      <c r="K219" s="252">
        <v>6850</v>
      </c>
      <c r="L219" s="253">
        <f t="shared" si="22"/>
        <v>8220</v>
      </c>
    </row>
    <row r="220" spans="2:12" ht="15.75">
      <c r="B220" s="239" t="str">
        <f t="shared" si="23"/>
        <v>L .</v>
      </c>
      <c r="C220" s="240" t="s">
        <v>914</v>
      </c>
      <c r="D220" s="241" t="s">
        <v>1263</v>
      </c>
      <c r="E220" s="242" t="s">
        <v>1264</v>
      </c>
      <c r="F220" s="328" t="s">
        <v>746</v>
      </c>
      <c r="G220" s="247" t="s">
        <v>1254</v>
      </c>
      <c r="H220" s="414">
        <v>0</v>
      </c>
      <c r="I220" s="415">
        <v>0</v>
      </c>
      <c r="J220" s="413">
        <f t="shared" si="21"/>
        <v>8576.96</v>
      </c>
      <c r="K220" s="245">
        <v>8576.96</v>
      </c>
      <c r="L220" s="246">
        <f t="shared" si="22"/>
        <v>10292.351999999999</v>
      </c>
    </row>
    <row r="221" spans="2:12" ht="15.75">
      <c r="B221" s="239" t="str">
        <f t="shared" si="23"/>
        <v>L .</v>
      </c>
      <c r="C221" s="240" t="s">
        <v>916</v>
      </c>
      <c r="D221" s="241" t="s">
        <v>1265</v>
      </c>
      <c r="E221" s="242" t="s">
        <v>1266</v>
      </c>
      <c r="F221" s="328" t="s">
        <v>747</v>
      </c>
      <c r="G221" s="247" t="s">
        <v>1254</v>
      </c>
      <c r="H221" s="414">
        <v>0</v>
      </c>
      <c r="I221" s="415">
        <v>0</v>
      </c>
      <c r="J221" s="413">
        <f t="shared" si="21"/>
        <v>6615.34</v>
      </c>
      <c r="K221" s="245">
        <v>6615.34</v>
      </c>
      <c r="L221" s="246">
        <f t="shared" si="22"/>
        <v>7938.407999999999</v>
      </c>
    </row>
    <row r="222" spans="2:12" ht="15.75">
      <c r="B222" s="239" t="str">
        <f t="shared" si="23"/>
        <v>L .</v>
      </c>
      <c r="C222" s="240" t="s">
        <v>918</v>
      </c>
      <c r="D222" s="241" t="s">
        <v>1267</v>
      </c>
      <c r="E222" s="242" t="s">
        <v>1268</v>
      </c>
      <c r="F222" s="328" t="s">
        <v>748</v>
      </c>
      <c r="G222" s="247" t="s">
        <v>1254</v>
      </c>
      <c r="H222" s="414">
        <v>0</v>
      </c>
      <c r="I222" s="415">
        <v>0</v>
      </c>
      <c r="J222" s="413">
        <f t="shared" si="21"/>
        <v>4200</v>
      </c>
      <c r="K222" s="245">
        <v>4200</v>
      </c>
      <c r="L222" s="246">
        <f t="shared" si="22"/>
        <v>5040</v>
      </c>
    </row>
    <row r="223" spans="2:12" ht="15.75">
      <c r="B223" s="239" t="str">
        <f t="shared" si="23"/>
        <v>L .</v>
      </c>
      <c r="C223" s="240" t="s">
        <v>920</v>
      </c>
      <c r="D223" s="329" t="s">
        <v>1269</v>
      </c>
      <c r="E223" s="242" t="s">
        <v>1270</v>
      </c>
      <c r="F223" s="328" t="s">
        <v>749</v>
      </c>
      <c r="G223" s="247" t="s">
        <v>1254</v>
      </c>
      <c r="H223" s="414">
        <v>0</v>
      </c>
      <c r="I223" s="415">
        <v>0</v>
      </c>
      <c r="J223" s="413">
        <f t="shared" si="21"/>
        <v>10500</v>
      </c>
      <c r="K223" s="245">
        <v>10500</v>
      </c>
      <c r="L223" s="246">
        <f t="shared" si="22"/>
        <v>12600</v>
      </c>
    </row>
    <row r="224" spans="2:12" ht="15.75">
      <c r="B224" s="239" t="str">
        <f t="shared" si="23"/>
        <v>L .</v>
      </c>
      <c r="C224" s="240" t="s">
        <v>921</v>
      </c>
      <c r="D224" s="241" t="s">
        <v>1271</v>
      </c>
      <c r="E224" s="242" t="s">
        <v>1272</v>
      </c>
      <c r="F224" s="328" t="s">
        <v>750</v>
      </c>
      <c r="G224" s="247" t="s">
        <v>1254</v>
      </c>
      <c r="H224" s="414">
        <v>0</v>
      </c>
      <c r="I224" s="415">
        <v>0</v>
      </c>
      <c r="J224" s="413">
        <f t="shared" si="21"/>
        <v>9500</v>
      </c>
      <c r="K224" s="245">
        <v>9500</v>
      </c>
      <c r="L224" s="246">
        <f t="shared" si="22"/>
        <v>11400</v>
      </c>
    </row>
    <row r="225" spans="2:12" ht="15.75">
      <c r="B225" s="239" t="str">
        <f t="shared" si="23"/>
        <v>L .</v>
      </c>
      <c r="C225" s="240" t="s">
        <v>923</v>
      </c>
      <c r="D225" s="241" t="s">
        <v>1273</v>
      </c>
      <c r="E225" s="242" t="s">
        <v>1274</v>
      </c>
      <c r="F225" s="328" t="s">
        <v>751</v>
      </c>
      <c r="G225" s="247" t="s">
        <v>1254</v>
      </c>
      <c r="H225" s="414">
        <v>0</v>
      </c>
      <c r="I225" s="415">
        <v>0</v>
      </c>
      <c r="J225" s="413">
        <f t="shared" si="21"/>
        <v>9300</v>
      </c>
      <c r="K225" s="245">
        <v>9300</v>
      </c>
      <c r="L225" s="246">
        <f t="shared" si="22"/>
        <v>11160</v>
      </c>
    </row>
    <row r="226" spans="2:12" ht="15.75">
      <c r="B226" s="239" t="str">
        <f t="shared" si="23"/>
        <v>L .</v>
      </c>
      <c r="C226" s="240" t="s">
        <v>924</v>
      </c>
      <c r="D226" s="241" t="s">
        <v>1275</v>
      </c>
      <c r="E226" s="242" t="s">
        <v>1276</v>
      </c>
      <c r="F226" s="328" t="s">
        <v>752</v>
      </c>
      <c r="G226" s="247" t="s">
        <v>1254</v>
      </c>
      <c r="H226" s="414">
        <v>0</v>
      </c>
      <c r="I226" s="415">
        <v>0</v>
      </c>
      <c r="J226" s="413">
        <f t="shared" si="21"/>
        <v>8500</v>
      </c>
      <c r="K226" s="245">
        <v>8500</v>
      </c>
      <c r="L226" s="246">
        <f t="shared" si="22"/>
        <v>10200</v>
      </c>
    </row>
    <row r="227" spans="2:12" ht="15.75">
      <c r="B227" s="239" t="str">
        <f t="shared" si="23"/>
        <v>L .</v>
      </c>
      <c r="C227" s="240" t="s">
        <v>955</v>
      </c>
      <c r="D227" s="241" t="s">
        <v>1277</v>
      </c>
      <c r="E227" s="242" t="s">
        <v>1278</v>
      </c>
      <c r="F227" s="328" t="s">
        <v>753</v>
      </c>
      <c r="G227" s="247" t="s">
        <v>1254</v>
      </c>
      <c r="H227" s="414">
        <v>0</v>
      </c>
      <c r="I227" s="415">
        <v>0</v>
      </c>
      <c r="J227" s="413">
        <f t="shared" si="21"/>
        <v>8528.81</v>
      </c>
      <c r="K227" s="245">
        <v>8528.81</v>
      </c>
      <c r="L227" s="246">
        <f t="shared" si="22"/>
        <v>10234.571999999998</v>
      </c>
    </row>
    <row r="228" spans="2:12" ht="15.75">
      <c r="B228" s="239" t="str">
        <f t="shared" si="23"/>
        <v>L .</v>
      </c>
      <c r="C228" s="240" t="s">
        <v>958</v>
      </c>
      <c r="D228" s="241" t="s">
        <v>1279</v>
      </c>
      <c r="E228" s="242" t="s">
        <v>1280</v>
      </c>
      <c r="F228" s="328" t="s">
        <v>754</v>
      </c>
      <c r="G228" s="247" t="s">
        <v>1254</v>
      </c>
      <c r="H228" s="414">
        <v>0</v>
      </c>
      <c r="I228" s="415">
        <v>0</v>
      </c>
      <c r="J228" s="413">
        <f t="shared" si="21"/>
        <v>4110.48</v>
      </c>
      <c r="K228" s="245">
        <v>4110.48</v>
      </c>
      <c r="L228" s="246">
        <f t="shared" si="22"/>
        <v>4932.575999999999</v>
      </c>
    </row>
    <row r="229" spans="2:12" ht="15.75">
      <c r="B229" s="239" t="str">
        <f t="shared" si="23"/>
        <v>L .</v>
      </c>
      <c r="C229" s="240" t="s">
        <v>961</v>
      </c>
      <c r="D229" s="249"/>
      <c r="E229" s="250"/>
      <c r="F229" s="254" t="s">
        <v>755</v>
      </c>
      <c r="G229" s="244" t="s">
        <v>1254</v>
      </c>
      <c r="H229" s="414">
        <v>0</v>
      </c>
      <c r="I229" s="415">
        <v>0</v>
      </c>
      <c r="J229" s="413">
        <f t="shared" si="21"/>
        <v>3650</v>
      </c>
      <c r="K229" s="252">
        <v>3650</v>
      </c>
      <c r="L229" s="253">
        <f t="shared" si="22"/>
        <v>4380</v>
      </c>
    </row>
    <row r="230" spans="2:12" ht="15.75">
      <c r="B230" s="239" t="str">
        <f t="shared" si="23"/>
        <v>L .</v>
      </c>
      <c r="C230" s="240" t="s">
        <v>964</v>
      </c>
      <c r="D230" s="241" t="s">
        <v>1281</v>
      </c>
      <c r="E230" s="242" t="s">
        <v>1282</v>
      </c>
      <c r="F230" s="328" t="s">
        <v>756</v>
      </c>
      <c r="G230" s="247" t="s">
        <v>1254</v>
      </c>
      <c r="H230" s="414">
        <v>0</v>
      </c>
      <c r="I230" s="415">
        <v>0</v>
      </c>
      <c r="J230" s="413">
        <f t="shared" si="21"/>
        <v>4875.04</v>
      </c>
      <c r="K230" s="245">
        <v>4875.04</v>
      </c>
      <c r="L230" s="246">
        <f t="shared" si="22"/>
        <v>5850.048</v>
      </c>
    </row>
    <row r="231" spans="2:12" ht="15.75">
      <c r="B231" s="239" t="str">
        <f t="shared" si="23"/>
        <v>L .</v>
      </c>
      <c r="C231" s="240" t="s">
        <v>967</v>
      </c>
      <c r="D231" s="241" t="s">
        <v>1283</v>
      </c>
      <c r="E231" s="242" t="s">
        <v>1284</v>
      </c>
      <c r="F231" s="328" t="s">
        <v>757</v>
      </c>
      <c r="G231" s="247" t="s">
        <v>1254</v>
      </c>
      <c r="H231" s="414">
        <v>0</v>
      </c>
      <c r="I231" s="415">
        <v>0</v>
      </c>
      <c r="J231" s="413">
        <f t="shared" si="21"/>
        <v>3244.57</v>
      </c>
      <c r="K231" s="245">
        <v>3244.57</v>
      </c>
      <c r="L231" s="246">
        <f t="shared" si="22"/>
        <v>3893.484</v>
      </c>
    </row>
    <row r="232" spans="2:12" ht="15.75">
      <c r="B232" s="239" t="str">
        <f t="shared" si="23"/>
        <v>L .</v>
      </c>
      <c r="C232" s="240" t="s">
        <v>970</v>
      </c>
      <c r="D232" s="241" t="s">
        <v>1285</v>
      </c>
      <c r="E232" s="242" t="s">
        <v>1286</v>
      </c>
      <c r="F232" s="328" t="s">
        <v>758</v>
      </c>
      <c r="G232" s="247" t="s">
        <v>1254</v>
      </c>
      <c r="H232" s="414">
        <v>0</v>
      </c>
      <c r="I232" s="415">
        <v>0</v>
      </c>
      <c r="J232" s="413">
        <f t="shared" si="21"/>
        <v>3978.8</v>
      </c>
      <c r="K232" s="245">
        <v>3978.8</v>
      </c>
      <c r="L232" s="246">
        <f t="shared" si="22"/>
        <v>4774.56</v>
      </c>
    </row>
    <row r="233" spans="2:12" ht="15.75">
      <c r="B233" s="239" t="str">
        <f t="shared" si="23"/>
        <v>L .</v>
      </c>
      <c r="C233" s="240" t="s">
        <v>973</v>
      </c>
      <c r="D233" s="241" t="s">
        <v>1287</v>
      </c>
      <c r="E233" s="242" t="s">
        <v>1288</v>
      </c>
      <c r="F233" s="328" t="s">
        <v>759</v>
      </c>
      <c r="G233" s="247" t="s">
        <v>1254</v>
      </c>
      <c r="H233" s="414">
        <v>0</v>
      </c>
      <c r="I233" s="415">
        <v>0</v>
      </c>
      <c r="J233" s="413">
        <f t="shared" si="21"/>
        <v>11500</v>
      </c>
      <c r="K233" s="245">
        <v>11500</v>
      </c>
      <c r="L233" s="246">
        <f t="shared" si="22"/>
        <v>13800</v>
      </c>
    </row>
    <row r="234" spans="2:12" ht="15.75">
      <c r="B234" s="239" t="str">
        <f t="shared" si="23"/>
        <v>L .</v>
      </c>
      <c r="C234" s="240" t="s">
        <v>976</v>
      </c>
      <c r="D234" s="241" t="s">
        <v>1289</v>
      </c>
      <c r="E234" s="242" t="s">
        <v>1290</v>
      </c>
      <c r="F234" s="328" t="s">
        <v>760</v>
      </c>
      <c r="G234" s="247" t="s">
        <v>1254</v>
      </c>
      <c r="H234" s="414">
        <v>0</v>
      </c>
      <c r="I234" s="415">
        <v>0</v>
      </c>
      <c r="J234" s="413">
        <f t="shared" si="21"/>
        <v>5000</v>
      </c>
      <c r="K234" s="245">
        <v>5000</v>
      </c>
      <c r="L234" s="246">
        <f t="shared" si="22"/>
        <v>6000</v>
      </c>
    </row>
    <row r="235" spans="2:12" ht="15.75">
      <c r="B235" s="239" t="str">
        <f t="shared" si="23"/>
        <v>L .</v>
      </c>
      <c r="C235" s="240" t="s">
        <v>979</v>
      </c>
      <c r="D235" s="241" t="s">
        <v>1291</v>
      </c>
      <c r="E235" s="242" t="s">
        <v>1292</v>
      </c>
      <c r="F235" s="328" t="s">
        <v>761</v>
      </c>
      <c r="G235" s="247" t="s">
        <v>1254</v>
      </c>
      <c r="H235" s="414">
        <v>0</v>
      </c>
      <c r="I235" s="415">
        <v>0</v>
      </c>
      <c r="J235" s="413">
        <f t="shared" si="21"/>
        <v>5800</v>
      </c>
      <c r="K235" s="245">
        <v>5800</v>
      </c>
      <c r="L235" s="246">
        <f t="shared" si="22"/>
        <v>6960</v>
      </c>
    </row>
    <row r="236" spans="2:12" ht="15.75">
      <c r="B236" s="239" t="str">
        <f t="shared" si="23"/>
        <v>L .</v>
      </c>
      <c r="C236" s="240" t="s">
        <v>982</v>
      </c>
      <c r="D236" s="241" t="s">
        <v>1293</v>
      </c>
      <c r="E236" s="242" t="s">
        <v>1294</v>
      </c>
      <c r="F236" s="328" t="s">
        <v>762</v>
      </c>
      <c r="G236" s="247" t="s">
        <v>1254</v>
      </c>
      <c r="H236" s="414">
        <v>0</v>
      </c>
      <c r="I236" s="415">
        <v>0</v>
      </c>
      <c r="J236" s="413">
        <f t="shared" si="21"/>
        <v>12500</v>
      </c>
      <c r="K236" s="245">
        <v>12500</v>
      </c>
      <c r="L236" s="246">
        <f t="shared" si="22"/>
        <v>15000</v>
      </c>
    </row>
    <row r="237" spans="2:12" ht="15.75">
      <c r="B237" s="239" t="str">
        <f t="shared" si="23"/>
        <v>L .</v>
      </c>
      <c r="C237" s="240" t="s">
        <v>985</v>
      </c>
      <c r="D237" s="249"/>
      <c r="E237" s="250"/>
      <c r="F237" s="254" t="s">
        <v>763</v>
      </c>
      <c r="G237" s="244" t="s">
        <v>1254</v>
      </c>
      <c r="H237" s="414">
        <v>0</v>
      </c>
      <c r="I237" s="415">
        <v>0</v>
      </c>
      <c r="J237" s="413">
        <f t="shared" si="21"/>
        <v>11000</v>
      </c>
      <c r="K237" s="252">
        <v>11000</v>
      </c>
      <c r="L237" s="253">
        <f t="shared" si="22"/>
        <v>13200</v>
      </c>
    </row>
    <row r="238" spans="2:12" ht="15.75">
      <c r="B238" s="239" t="str">
        <f t="shared" si="23"/>
        <v>L .</v>
      </c>
      <c r="C238" s="240" t="s">
        <v>988</v>
      </c>
      <c r="D238" s="249"/>
      <c r="E238" s="250"/>
      <c r="F238" s="254" t="s">
        <v>764</v>
      </c>
      <c r="G238" s="244" t="s">
        <v>1254</v>
      </c>
      <c r="H238" s="414">
        <v>0</v>
      </c>
      <c r="I238" s="415">
        <v>0</v>
      </c>
      <c r="J238" s="413">
        <f t="shared" si="21"/>
        <v>2500</v>
      </c>
      <c r="K238" s="252">
        <v>2500</v>
      </c>
      <c r="L238" s="253">
        <f t="shared" si="22"/>
        <v>3000</v>
      </c>
    </row>
    <row r="239" spans="2:12" ht="15.75">
      <c r="B239" s="239" t="str">
        <f t="shared" si="23"/>
        <v>L .</v>
      </c>
      <c r="C239" s="240" t="s">
        <v>991</v>
      </c>
      <c r="D239" s="249"/>
      <c r="E239" s="250"/>
      <c r="F239" s="254" t="s">
        <v>765</v>
      </c>
      <c r="G239" s="244" t="s">
        <v>1254</v>
      </c>
      <c r="H239" s="414">
        <v>0</v>
      </c>
      <c r="I239" s="415">
        <v>0</v>
      </c>
      <c r="J239" s="413">
        <f t="shared" si="21"/>
        <v>38000</v>
      </c>
      <c r="K239" s="252">
        <v>38000</v>
      </c>
      <c r="L239" s="253">
        <f t="shared" si="22"/>
        <v>45600</v>
      </c>
    </row>
    <row r="240" spans="2:12" ht="15.75">
      <c r="B240" s="239" t="str">
        <f t="shared" si="23"/>
        <v>L .</v>
      </c>
      <c r="C240" s="240" t="s">
        <v>994</v>
      </c>
      <c r="D240" s="249"/>
      <c r="E240" s="250"/>
      <c r="F240" s="254" t="s">
        <v>765</v>
      </c>
      <c r="G240" s="244" t="s">
        <v>1295</v>
      </c>
      <c r="H240" s="414">
        <v>0</v>
      </c>
      <c r="I240" s="415">
        <v>0</v>
      </c>
      <c r="J240" s="413">
        <f t="shared" si="21"/>
        <v>500000</v>
      </c>
      <c r="K240" s="252">
        <v>500000</v>
      </c>
      <c r="L240" s="253">
        <f t="shared" si="22"/>
        <v>600000</v>
      </c>
    </row>
    <row r="241" spans="2:12" ht="15.75">
      <c r="B241" s="239" t="str">
        <f t="shared" si="23"/>
        <v>L .</v>
      </c>
      <c r="C241" s="240" t="s">
        <v>997</v>
      </c>
      <c r="D241" s="249"/>
      <c r="E241" s="250"/>
      <c r="F241" s="254" t="s">
        <v>766</v>
      </c>
      <c r="G241" s="244" t="s">
        <v>1254</v>
      </c>
      <c r="H241" s="414">
        <v>0</v>
      </c>
      <c r="I241" s="415">
        <v>0</v>
      </c>
      <c r="J241" s="413">
        <f t="shared" si="21"/>
        <v>10500</v>
      </c>
      <c r="K241" s="252">
        <v>10500</v>
      </c>
      <c r="L241" s="253">
        <f t="shared" si="22"/>
        <v>12600</v>
      </c>
    </row>
    <row r="242" spans="2:12" ht="15.75">
      <c r="B242" s="239" t="str">
        <f t="shared" si="23"/>
        <v>L .</v>
      </c>
      <c r="C242" s="240" t="s">
        <v>1000</v>
      </c>
      <c r="D242" s="249"/>
      <c r="E242" s="250"/>
      <c r="F242" s="254" t="s">
        <v>767</v>
      </c>
      <c r="G242" s="244" t="s">
        <v>1254</v>
      </c>
      <c r="H242" s="414">
        <v>0</v>
      </c>
      <c r="I242" s="415">
        <v>0</v>
      </c>
      <c r="J242" s="413">
        <f t="shared" si="21"/>
        <v>8500</v>
      </c>
      <c r="K242" s="252">
        <v>8500</v>
      </c>
      <c r="L242" s="253">
        <f t="shared" si="22"/>
        <v>10200</v>
      </c>
    </row>
    <row r="243" spans="2:12" ht="15.75">
      <c r="B243" s="239" t="str">
        <f t="shared" si="23"/>
        <v>L .</v>
      </c>
      <c r="C243" s="240" t="s">
        <v>1003</v>
      </c>
      <c r="D243" s="256"/>
      <c r="E243" s="257"/>
      <c r="F243" s="254" t="s">
        <v>768</v>
      </c>
      <c r="G243" s="244" t="s">
        <v>930</v>
      </c>
      <c r="H243" s="414">
        <v>0</v>
      </c>
      <c r="I243" s="415">
        <v>0</v>
      </c>
      <c r="J243" s="413">
        <f t="shared" si="21"/>
        <v>6.5</v>
      </c>
      <c r="K243" s="260">
        <v>6.5</v>
      </c>
      <c r="L243" s="261">
        <f t="shared" si="22"/>
        <v>7.8</v>
      </c>
    </row>
    <row r="244" spans="2:12" ht="15.75">
      <c r="B244" s="239" t="str">
        <f t="shared" si="23"/>
        <v>L .</v>
      </c>
      <c r="C244" s="240" t="s">
        <v>1005</v>
      </c>
      <c r="D244" s="256"/>
      <c r="E244" s="257"/>
      <c r="F244" s="325" t="s">
        <v>769</v>
      </c>
      <c r="G244" s="244" t="s">
        <v>1254</v>
      </c>
      <c r="H244" s="414">
        <v>0</v>
      </c>
      <c r="I244" s="415">
        <v>0</v>
      </c>
      <c r="J244" s="413">
        <f t="shared" si="21"/>
        <v>8625</v>
      </c>
      <c r="K244" s="260">
        <v>8625</v>
      </c>
      <c r="L244" s="261">
        <f t="shared" si="22"/>
        <v>10350</v>
      </c>
    </row>
    <row r="245" spans="2:12" ht="15.75">
      <c r="B245" s="239" t="str">
        <f t="shared" si="23"/>
        <v>L .</v>
      </c>
      <c r="C245" s="240" t="s">
        <v>1008</v>
      </c>
      <c r="D245" s="256"/>
      <c r="E245" s="257"/>
      <c r="F245" s="325" t="s">
        <v>770</v>
      </c>
      <c r="G245" s="244" t="s">
        <v>1254</v>
      </c>
      <c r="H245" s="414">
        <v>0</v>
      </c>
      <c r="I245" s="415">
        <v>0</v>
      </c>
      <c r="J245" s="413">
        <f t="shared" si="21"/>
        <v>8250</v>
      </c>
      <c r="K245" s="260">
        <v>8250</v>
      </c>
      <c r="L245" s="261">
        <f t="shared" si="22"/>
        <v>9900</v>
      </c>
    </row>
    <row r="246" spans="2:12" ht="15.75">
      <c r="B246" s="239" t="str">
        <f t="shared" si="23"/>
        <v>L .</v>
      </c>
      <c r="C246" s="240" t="s">
        <v>1011</v>
      </c>
      <c r="D246" s="256"/>
      <c r="E246" s="257"/>
      <c r="F246" s="325" t="s">
        <v>771</v>
      </c>
      <c r="G246" s="247" t="s">
        <v>1296</v>
      </c>
      <c r="H246" s="414">
        <v>0</v>
      </c>
      <c r="I246" s="415">
        <v>0</v>
      </c>
      <c r="J246" s="413">
        <f t="shared" si="21"/>
        <v>135</v>
      </c>
      <c r="K246" s="260">
        <v>135</v>
      </c>
      <c r="L246" s="261">
        <f t="shared" si="22"/>
        <v>162</v>
      </c>
    </row>
    <row r="247" spans="2:12" ht="15.75">
      <c r="B247" s="239" t="str">
        <f t="shared" si="23"/>
        <v>L .</v>
      </c>
      <c r="C247" s="240" t="s">
        <v>1014</v>
      </c>
      <c r="D247" s="256"/>
      <c r="E247" s="257"/>
      <c r="F247" s="325" t="s">
        <v>772</v>
      </c>
      <c r="G247" s="244" t="s">
        <v>930</v>
      </c>
      <c r="H247" s="414">
        <v>0</v>
      </c>
      <c r="I247" s="415">
        <v>0</v>
      </c>
      <c r="J247" s="413">
        <f t="shared" si="21"/>
        <v>550</v>
      </c>
      <c r="K247" s="260">
        <v>550</v>
      </c>
      <c r="L247" s="261">
        <f t="shared" si="22"/>
        <v>660</v>
      </c>
    </row>
    <row r="248" spans="2:12" ht="15.75">
      <c r="B248" s="239" t="str">
        <f t="shared" si="23"/>
        <v>L .</v>
      </c>
      <c r="C248" s="240" t="s">
        <v>1017</v>
      </c>
      <c r="D248" s="256"/>
      <c r="E248" s="257"/>
      <c r="F248" s="325" t="s">
        <v>773</v>
      </c>
      <c r="G248" s="244" t="s">
        <v>1254</v>
      </c>
      <c r="H248" s="414">
        <v>0</v>
      </c>
      <c r="I248" s="415">
        <v>0</v>
      </c>
      <c r="J248" s="413">
        <f t="shared" si="21"/>
        <v>500</v>
      </c>
      <c r="K248" s="260">
        <v>500</v>
      </c>
      <c r="L248" s="261">
        <f t="shared" si="22"/>
        <v>600</v>
      </c>
    </row>
    <row r="249" spans="2:12" ht="15.75">
      <c r="B249" s="432"/>
      <c r="C249" s="285"/>
      <c r="D249" s="256"/>
      <c r="E249" s="257"/>
      <c r="F249" s="325"/>
      <c r="G249" s="279"/>
      <c r="H249" s="429"/>
      <c r="I249" s="430"/>
      <c r="J249" s="428"/>
      <c r="K249" s="260"/>
      <c r="L249" s="261"/>
    </row>
    <row r="250" spans="2:12" ht="16.5" thickBot="1">
      <c r="B250" s="681" t="s">
        <v>1297</v>
      </c>
      <c r="C250" s="682"/>
      <c r="D250" s="330"/>
      <c r="E250" s="331"/>
      <c r="F250" s="319" t="s">
        <v>1298</v>
      </c>
      <c r="G250" s="332"/>
      <c r="H250" s="450"/>
      <c r="I250" s="451"/>
      <c r="J250" s="452"/>
      <c r="K250" s="453"/>
      <c r="L250" s="454"/>
    </row>
    <row r="251" spans="2:12" ht="15.75">
      <c r="B251" s="455"/>
      <c r="C251" s="333"/>
      <c r="D251" s="334"/>
      <c r="E251" s="335"/>
      <c r="F251" s="322"/>
      <c r="G251" s="336"/>
      <c r="H251" s="456"/>
      <c r="I251" s="457"/>
      <c r="J251" s="458"/>
      <c r="K251" s="459"/>
      <c r="L251" s="460"/>
    </row>
    <row r="252" spans="2:12" ht="15.75">
      <c r="B252" s="239" t="str">
        <f>+B250</f>
        <v>M .</v>
      </c>
      <c r="C252" s="240" t="s">
        <v>894</v>
      </c>
      <c r="D252" s="241" t="s">
        <v>1299</v>
      </c>
      <c r="E252" s="242"/>
      <c r="F252" s="328" t="s">
        <v>774</v>
      </c>
      <c r="G252" s="247" t="s">
        <v>1254</v>
      </c>
      <c r="H252" s="414">
        <v>0</v>
      </c>
      <c r="I252" s="415">
        <v>0</v>
      </c>
      <c r="J252" s="413">
        <f aca="true" t="shared" si="24" ref="J252:J260">+K252-(H252+I252)</f>
        <v>3255.43</v>
      </c>
      <c r="K252" s="245">
        <v>3255.43</v>
      </c>
      <c r="L252" s="246">
        <f aca="true" t="shared" si="25" ref="L252:L260">+$K252*$L$5</f>
        <v>3906.5159999999996</v>
      </c>
    </row>
    <row r="253" spans="2:12" ht="15.75">
      <c r="B253" s="239" t="str">
        <f>+B252</f>
        <v>M .</v>
      </c>
      <c r="C253" s="240" t="s">
        <v>898</v>
      </c>
      <c r="D253" s="241" t="s">
        <v>1300</v>
      </c>
      <c r="E253" s="242"/>
      <c r="F253" s="328" t="s">
        <v>775</v>
      </c>
      <c r="G253" s="247" t="s">
        <v>1254</v>
      </c>
      <c r="H253" s="414">
        <v>0</v>
      </c>
      <c r="I253" s="415">
        <v>0</v>
      </c>
      <c r="J253" s="413">
        <f t="shared" si="24"/>
        <v>4655.64</v>
      </c>
      <c r="K253" s="245">
        <v>4655.64</v>
      </c>
      <c r="L253" s="246">
        <f t="shared" si="25"/>
        <v>5586.768</v>
      </c>
    </row>
    <row r="254" spans="2:12" ht="15.75">
      <c r="B254" s="239" t="str">
        <f aca="true" t="shared" si="26" ref="B254:B260">+B253</f>
        <v>M .</v>
      </c>
      <c r="C254" s="240" t="s">
        <v>902</v>
      </c>
      <c r="D254" s="241" t="s">
        <v>1301</v>
      </c>
      <c r="E254" s="242"/>
      <c r="F254" s="328" t="s">
        <v>776</v>
      </c>
      <c r="G254" s="247" t="s">
        <v>1254</v>
      </c>
      <c r="H254" s="414">
        <v>0</v>
      </c>
      <c r="I254" s="415">
        <v>0</v>
      </c>
      <c r="J254" s="413">
        <f t="shared" si="24"/>
        <v>5824.29</v>
      </c>
      <c r="K254" s="245">
        <v>5824.29</v>
      </c>
      <c r="L254" s="246">
        <f t="shared" si="25"/>
        <v>6989.148</v>
      </c>
    </row>
    <row r="255" spans="2:12" ht="15.75">
      <c r="B255" s="239" t="str">
        <f t="shared" si="26"/>
        <v>M .</v>
      </c>
      <c r="C255" s="240" t="s">
        <v>905</v>
      </c>
      <c r="D255" s="241" t="s">
        <v>1302</v>
      </c>
      <c r="E255" s="242"/>
      <c r="F255" s="328" t="s">
        <v>777</v>
      </c>
      <c r="G255" s="247" t="s">
        <v>1254</v>
      </c>
      <c r="H255" s="414">
        <v>0</v>
      </c>
      <c r="I255" s="415">
        <v>0</v>
      </c>
      <c r="J255" s="413">
        <f t="shared" si="24"/>
        <v>1979.94</v>
      </c>
      <c r="K255" s="245">
        <v>1979.94</v>
      </c>
      <c r="L255" s="246">
        <f t="shared" si="25"/>
        <v>2375.928</v>
      </c>
    </row>
    <row r="256" spans="2:12" ht="15.75">
      <c r="B256" s="239" t="str">
        <f t="shared" si="26"/>
        <v>M .</v>
      </c>
      <c r="C256" s="240" t="s">
        <v>909</v>
      </c>
      <c r="D256" s="249"/>
      <c r="E256" s="250"/>
      <c r="F256" s="254" t="s">
        <v>778</v>
      </c>
      <c r="G256" s="244" t="s">
        <v>1254</v>
      </c>
      <c r="H256" s="414">
        <v>0</v>
      </c>
      <c r="I256" s="415">
        <v>0</v>
      </c>
      <c r="J256" s="413">
        <f t="shared" si="24"/>
        <v>5500</v>
      </c>
      <c r="K256" s="252">
        <v>5500</v>
      </c>
      <c r="L256" s="253">
        <f t="shared" si="25"/>
        <v>6600</v>
      </c>
    </row>
    <row r="257" spans="2:12" ht="15.75">
      <c r="B257" s="239" t="str">
        <f t="shared" si="26"/>
        <v>M .</v>
      </c>
      <c r="C257" s="240" t="s">
        <v>912</v>
      </c>
      <c r="D257" s="249"/>
      <c r="E257" s="250"/>
      <c r="F257" s="254" t="s">
        <v>779</v>
      </c>
      <c r="G257" s="244" t="s">
        <v>1254</v>
      </c>
      <c r="H257" s="414">
        <v>0</v>
      </c>
      <c r="I257" s="415">
        <v>0</v>
      </c>
      <c r="J257" s="413">
        <f t="shared" si="24"/>
        <v>5800</v>
      </c>
      <c r="K257" s="252">
        <v>5800</v>
      </c>
      <c r="L257" s="253">
        <f t="shared" si="25"/>
        <v>6960</v>
      </c>
    </row>
    <row r="258" spans="2:12" ht="15.75">
      <c r="B258" s="239" t="str">
        <f t="shared" si="26"/>
        <v>M .</v>
      </c>
      <c r="C258" s="240" t="s">
        <v>914</v>
      </c>
      <c r="D258" s="249"/>
      <c r="E258" s="250"/>
      <c r="F258" s="254" t="s">
        <v>780</v>
      </c>
      <c r="G258" s="244" t="s">
        <v>1254</v>
      </c>
      <c r="H258" s="414">
        <v>0</v>
      </c>
      <c r="I258" s="415">
        <v>0</v>
      </c>
      <c r="J258" s="413">
        <f t="shared" si="24"/>
        <v>2300</v>
      </c>
      <c r="K258" s="252">
        <v>2300</v>
      </c>
      <c r="L258" s="253">
        <f t="shared" si="25"/>
        <v>2760</v>
      </c>
    </row>
    <row r="259" spans="2:12" ht="15.75">
      <c r="B259" s="239" t="str">
        <f t="shared" si="26"/>
        <v>M .</v>
      </c>
      <c r="C259" s="240" t="s">
        <v>916</v>
      </c>
      <c r="D259" s="276"/>
      <c r="E259" s="277"/>
      <c r="F259" s="337" t="s">
        <v>781</v>
      </c>
      <c r="G259" s="244" t="s">
        <v>1254</v>
      </c>
      <c r="H259" s="414">
        <v>0</v>
      </c>
      <c r="I259" s="415">
        <v>0</v>
      </c>
      <c r="J259" s="413">
        <f t="shared" si="24"/>
        <v>550</v>
      </c>
      <c r="K259" s="280">
        <v>550</v>
      </c>
      <c r="L259" s="281">
        <f t="shared" si="25"/>
        <v>660</v>
      </c>
    </row>
    <row r="260" spans="2:12" ht="15.75">
      <c r="B260" s="239" t="str">
        <f t="shared" si="26"/>
        <v>M .</v>
      </c>
      <c r="C260" s="240" t="s">
        <v>918</v>
      </c>
      <c r="D260" s="276"/>
      <c r="E260" s="277"/>
      <c r="F260" s="337" t="s">
        <v>782</v>
      </c>
      <c r="G260" s="244" t="s">
        <v>1254</v>
      </c>
      <c r="H260" s="414">
        <v>0</v>
      </c>
      <c r="I260" s="415">
        <v>0</v>
      </c>
      <c r="J260" s="413">
        <f t="shared" si="24"/>
        <v>360</v>
      </c>
      <c r="K260" s="280">
        <v>360</v>
      </c>
      <c r="L260" s="281">
        <f t="shared" si="25"/>
        <v>432</v>
      </c>
    </row>
    <row r="261" spans="2:12" ht="15.75">
      <c r="B261" s="432"/>
      <c r="C261" s="285"/>
      <c r="D261" s="276"/>
      <c r="E261" s="277"/>
      <c r="F261" s="337"/>
      <c r="G261" s="259"/>
      <c r="H261" s="417"/>
      <c r="I261" s="418"/>
      <c r="J261" s="419"/>
      <c r="K261" s="280"/>
      <c r="L261" s="281"/>
    </row>
    <row r="262" spans="2:12" ht="16.5" thickBot="1">
      <c r="B262" s="681" t="s">
        <v>1303</v>
      </c>
      <c r="C262" s="682"/>
      <c r="D262" s="338"/>
      <c r="E262" s="234"/>
      <c r="F262" s="319" t="s">
        <v>1304</v>
      </c>
      <c r="G262" s="339"/>
      <c r="H262" s="461"/>
      <c r="I262" s="462"/>
      <c r="J262" s="463"/>
      <c r="K262" s="262"/>
      <c r="L262" s="263"/>
    </row>
    <row r="263" spans="2:12" ht="15.75">
      <c r="B263" s="432"/>
      <c r="C263" s="333"/>
      <c r="D263" s="340"/>
      <c r="E263" s="265"/>
      <c r="F263" s="322"/>
      <c r="G263" s="341"/>
      <c r="H263" s="464"/>
      <c r="I263" s="465"/>
      <c r="J263" s="466"/>
      <c r="K263" s="267"/>
      <c r="L263" s="268"/>
    </row>
    <row r="264" spans="2:12" ht="15.75">
      <c r="B264" s="239" t="str">
        <f>+B262</f>
        <v>N .</v>
      </c>
      <c r="C264" s="240" t="s">
        <v>894</v>
      </c>
      <c r="D264" s="241" t="s">
        <v>1299</v>
      </c>
      <c r="E264" s="242"/>
      <c r="F264" s="328" t="s">
        <v>783</v>
      </c>
      <c r="G264" s="247" t="s">
        <v>1305</v>
      </c>
      <c r="H264" s="414">
        <v>0</v>
      </c>
      <c r="I264" s="415">
        <v>0</v>
      </c>
      <c r="J264" s="413">
        <f aca="true" t="shared" si="27" ref="J264:J278">+K264-(H264+I264)</f>
        <v>163.87</v>
      </c>
      <c r="K264" s="245">
        <v>163.87</v>
      </c>
      <c r="L264" s="246">
        <f aca="true" t="shared" si="28" ref="L264:L278">+$K264*$L$5</f>
        <v>196.644</v>
      </c>
    </row>
    <row r="265" spans="2:12" ht="15.75">
      <c r="B265" s="239" t="str">
        <f>+B264</f>
        <v>N .</v>
      </c>
      <c r="C265" s="240" t="s">
        <v>898</v>
      </c>
      <c r="D265" s="241" t="s">
        <v>1300</v>
      </c>
      <c r="E265" s="242"/>
      <c r="F265" s="328" t="s">
        <v>784</v>
      </c>
      <c r="G265" s="247" t="s">
        <v>1305</v>
      </c>
      <c r="H265" s="414">
        <v>0</v>
      </c>
      <c r="I265" s="415">
        <v>0</v>
      </c>
      <c r="J265" s="413">
        <f t="shared" si="27"/>
        <v>212.61</v>
      </c>
      <c r="K265" s="245">
        <v>212.61</v>
      </c>
      <c r="L265" s="246">
        <f t="shared" si="28"/>
        <v>255.132</v>
      </c>
    </row>
    <row r="266" spans="2:12" ht="15.75">
      <c r="B266" s="239" t="str">
        <f aca="true" t="shared" si="29" ref="B266:B278">+B265</f>
        <v>N .</v>
      </c>
      <c r="C266" s="240" t="s">
        <v>902</v>
      </c>
      <c r="D266" s="241" t="s">
        <v>1301</v>
      </c>
      <c r="E266" s="242"/>
      <c r="F266" s="328" t="s">
        <v>785</v>
      </c>
      <c r="G266" s="247" t="s">
        <v>1305</v>
      </c>
      <c r="H266" s="414">
        <v>0</v>
      </c>
      <c r="I266" s="415">
        <v>0</v>
      </c>
      <c r="J266" s="413">
        <f t="shared" si="27"/>
        <v>261.35</v>
      </c>
      <c r="K266" s="245">
        <v>261.35</v>
      </c>
      <c r="L266" s="246">
        <f t="shared" si="28"/>
        <v>313.62</v>
      </c>
    </row>
    <row r="267" spans="2:12" ht="15.75">
      <c r="B267" s="239" t="str">
        <f t="shared" si="29"/>
        <v>N .</v>
      </c>
      <c r="C267" s="240" t="s">
        <v>905</v>
      </c>
      <c r="D267" s="241" t="s">
        <v>1302</v>
      </c>
      <c r="E267" s="242"/>
      <c r="F267" s="328" t="s">
        <v>786</v>
      </c>
      <c r="G267" s="247" t="s">
        <v>1305</v>
      </c>
      <c r="H267" s="414">
        <v>0</v>
      </c>
      <c r="I267" s="415">
        <v>0</v>
      </c>
      <c r="J267" s="413">
        <f t="shared" si="27"/>
        <v>310.08</v>
      </c>
      <c r="K267" s="245">
        <v>310.08</v>
      </c>
      <c r="L267" s="246">
        <f t="shared" si="28"/>
        <v>372.09599999999995</v>
      </c>
    </row>
    <row r="268" spans="2:12" ht="15.75">
      <c r="B268" s="239" t="str">
        <f t="shared" si="29"/>
        <v>N .</v>
      </c>
      <c r="C268" s="240" t="s">
        <v>909</v>
      </c>
      <c r="D268" s="241" t="s">
        <v>1306</v>
      </c>
      <c r="E268" s="242"/>
      <c r="F268" s="328" t="s">
        <v>787</v>
      </c>
      <c r="G268" s="247" t="s">
        <v>1305</v>
      </c>
      <c r="H268" s="414">
        <v>0</v>
      </c>
      <c r="I268" s="415">
        <v>0</v>
      </c>
      <c r="J268" s="413">
        <f t="shared" si="27"/>
        <v>358.82</v>
      </c>
      <c r="K268" s="245">
        <v>358.82</v>
      </c>
      <c r="L268" s="246">
        <f t="shared" si="28"/>
        <v>430.584</v>
      </c>
    </row>
    <row r="269" spans="2:12" ht="15.75">
      <c r="B269" s="239" t="str">
        <f t="shared" si="29"/>
        <v>N .</v>
      </c>
      <c r="C269" s="240" t="s">
        <v>912</v>
      </c>
      <c r="D269" s="241" t="s">
        <v>1307</v>
      </c>
      <c r="E269" s="242"/>
      <c r="F269" s="328" t="s">
        <v>788</v>
      </c>
      <c r="G269" s="247" t="s">
        <v>1305</v>
      </c>
      <c r="H269" s="414">
        <v>0</v>
      </c>
      <c r="I269" s="415">
        <v>0</v>
      </c>
      <c r="J269" s="413">
        <f t="shared" si="27"/>
        <v>602.5</v>
      </c>
      <c r="K269" s="245">
        <v>602.5</v>
      </c>
      <c r="L269" s="246">
        <f t="shared" si="28"/>
        <v>723</v>
      </c>
    </row>
    <row r="270" spans="2:12" ht="15.75">
      <c r="B270" s="239" t="str">
        <f t="shared" si="29"/>
        <v>N .</v>
      </c>
      <c r="C270" s="240" t="s">
        <v>914</v>
      </c>
      <c r="D270" s="241" t="s">
        <v>1308</v>
      </c>
      <c r="E270" s="242"/>
      <c r="F270" s="328" t="s">
        <v>789</v>
      </c>
      <c r="G270" s="247" t="s">
        <v>1305</v>
      </c>
      <c r="H270" s="414">
        <v>0</v>
      </c>
      <c r="I270" s="415">
        <v>0</v>
      </c>
      <c r="J270" s="413">
        <f t="shared" si="27"/>
        <v>846.18</v>
      </c>
      <c r="K270" s="245">
        <v>846.18</v>
      </c>
      <c r="L270" s="246">
        <f t="shared" si="28"/>
        <v>1015.4159999999999</v>
      </c>
    </row>
    <row r="271" spans="2:12" ht="15.75">
      <c r="B271" s="239" t="str">
        <f t="shared" si="29"/>
        <v>N .</v>
      </c>
      <c r="C271" s="240" t="s">
        <v>916</v>
      </c>
      <c r="D271" s="241" t="s">
        <v>1309</v>
      </c>
      <c r="E271" s="242"/>
      <c r="F271" s="328" t="s">
        <v>790</v>
      </c>
      <c r="G271" s="247" t="s">
        <v>1305</v>
      </c>
      <c r="H271" s="414">
        <v>0</v>
      </c>
      <c r="I271" s="415">
        <v>0</v>
      </c>
      <c r="J271" s="413">
        <f t="shared" si="27"/>
        <v>1089.86</v>
      </c>
      <c r="K271" s="245">
        <v>1089.86</v>
      </c>
      <c r="L271" s="246">
        <f t="shared" si="28"/>
        <v>1307.8319999999999</v>
      </c>
    </row>
    <row r="272" spans="2:12" ht="15.75">
      <c r="B272" s="239" t="str">
        <f t="shared" si="29"/>
        <v>N .</v>
      </c>
      <c r="C272" s="240" t="s">
        <v>918</v>
      </c>
      <c r="D272" s="241" t="s">
        <v>1310</v>
      </c>
      <c r="E272" s="242"/>
      <c r="F272" s="328" t="s">
        <v>791</v>
      </c>
      <c r="G272" s="247" t="s">
        <v>1305</v>
      </c>
      <c r="H272" s="414">
        <v>0</v>
      </c>
      <c r="I272" s="415">
        <v>0</v>
      </c>
      <c r="J272" s="413">
        <f t="shared" si="27"/>
        <v>1333.54</v>
      </c>
      <c r="K272" s="245">
        <v>1333.54</v>
      </c>
      <c r="L272" s="246">
        <f t="shared" si="28"/>
        <v>1600.2479999999998</v>
      </c>
    </row>
    <row r="273" spans="2:12" ht="15.75">
      <c r="B273" s="239" t="str">
        <f t="shared" si="29"/>
        <v>N .</v>
      </c>
      <c r="C273" s="240" t="s">
        <v>920</v>
      </c>
      <c r="D273" s="241" t="s">
        <v>1311</v>
      </c>
      <c r="E273" s="242"/>
      <c r="F273" s="328" t="s">
        <v>792</v>
      </c>
      <c r="G273" s="247" t="s">
        <v>1305</v>
      </c>
      <c r="H273" s="414">
        <v>0</v>
      </c>
      <c r="I273" s="415">
        <v>0</v>
      </c>
      <c r="J273" s="413">
        <f t="shared" si="27"/>
        <v>1577.22</v>
      </c>
      <c r="K273" s="245">
        <v>1577.22</v>
      </c>
      <c r="L273" s="246">
        <f t="shared" si="28"/>
        <v>1892.664</v>
      </c>
    </row>
    <row r="274" spans="2:12" ht="15.75">
      <c r="B274" s="239" t="str">
        <f t="shared" si="29"/>
        <v>N .</v>
      </c>
      <c r="C274" s="240" t="s">
        <v>921</v>
      </c>
      <c r="D274" s="249" t="s">
        <v>1312</v>
      </c>
      <c r="E274" s="250"/>
      <c r="F274" s="254" t="s">
        <v>793</v>
      </c>
      <c r="G274" s="244" t="s">
        <v>908</v>
      </c>
      <c r="H274" s="414">
        <v>0</v>
      </c>
      <c r="I274" s="415">
        <v>0</v>
      </c>
      <c r="J274" s="413">
        <f t="shared" si="27"/>
        <v>43890</v>
      </c>
      <c r="K274" s="252">
        <v>43890</v>
      </c>
      <c r="L274" s="253">
        <f t="shared" si="28"/>
        <v>52668</v>
      </c>
    </row>
    <row r="275" spans="2:12" ht="15.75">
      <c r="B275" s="239" t="str">
        <f t="shared" si="29"/>
        <v>N .</v>
      </c>
      <c r="C275" s="240" t="s">
        <v>923</v>
      </c>
      <c r="D275" s="256"/>
      <c r="E275" s="257"/>
      <c r="F275" s="328" t="s">
        <v>794</v>
      </c>
      <c r="G275" s="279" t="s">
        <v>1313</v>
      </c>
      <c r="H275" s="414">
        <v>0</v>
      </c>
      <c r="I275" s="415">
        <v>0</v>
      </c>
      <c r="J275" s="413">
        <f t="shared" si="27"/>
        <v>3685</v>
      </c>
      <c r="K275" s="260">
        <v>3685</v>
      </c>
      <c r="L275" s="261">
        <f t="shared" si="28"/>
        <v>4422</v>
      </c>
    </row>
    <row r="276" spans="2:12" ht="15.75">
      <c r="B276" s="239" t="str">
        <f t="shared" si="29"/>
        <v>N .</v>
      </c>
      <c r="C276" s="240" t="s">
        <v>924</v>
      </c>
      <c r="D276" s="256"/>
      <c r="E276" s="257"/>
      <c r="F276" s="328" t="s">
        <v>795</v>
      </c>
      <c r="G276" s="279" t="s">
        <v>1313</v>
      </c>
      <c r="H276" s="414">
        <v>0</v>
      </c>
      <c r="I276" s="415">
        <v>0</v>
      </c>
      <c r="J276" s="413">
        <f t="shared" si="27"/>
        <v>5885</v>
      </c>
      <c r="K276" s="260">
        <v>5885</v>
      </c>
      <c r="L276" s="261">
        <f t="shared" si="28"/>
        <v>7062</v>
      </c>
    </row>
    <row r="277" spans="2:12" ht="15.75">
      <c r="B277" s="239" t="str">
        <f t="shared" si="29"/>
        <v>N .</v>
      </c>
      <c r="C277" s="240" t="s">
        <v>955</v>
      </c>
      <c r="D277" s="256"/>
      <c r="E277" s="257"/>
      <c r="F277" s="328" t="s">
        <v>796</v>
      </c>
      <c r="G277" s="279" t="s">
        <v>1313</v>
      </c>
      <c r="H277" s="414">
        <v>0</v>
      </c>
      <c r="I277" s="415">
        <v>0</v>
      </c>
      <c r="J277" s="413">
        <f t="shared" si="27"/>
        <v>9460</v>
      </c>
      <c r="K277" s="260">
        <v>9460</v>
      </c>
      <c r="L277" s="261">
        <f t="shared" si="28"/>
        <v>11352</v>
      </c>
    </row>
    <row r="278" spans="2:12" ht="16.5" thickBot="1">
      <c r="B278" s="291" t="str">
        <f t="shared" si="29"/>
        <v>N .</v>
      </c>
      <c r="C278" s="292" t="s">
        <v>958</v>
      </c>
      <c r="D278" s="342"/>
      <c r="E278" s="293"/>
      <c r="F278" s="343" t="s">
        <v>797</v>
      </c>
      <c r="G278" s="295" t="s">
        <v>1313</v>
      </c>
      <c r="H278" s="467">
        <v>0</v>
      </c>
      <c r="I278" s="468">
        <v>0</v>
      </c>
      <c r="J278" s="469">
        <f t="shared" si="27"/>
        <v>11110</v>
      </c>
      <c r="K278" s="296">
        <v>11110</v>
      </c>
      <c r="L278" s="297">
        <f t="shared" si="28"/>
        <v>13332</v>
      </c>
    </row>
    <row r="279" spans="2:12" ht="17.25" thickBot="1" thickTop="1">
      <c r="B279" s="681" t="s">
        <v>1314</v>
      </c>
      <c r="C279" s="682"/>
      <c r="D279" s="344"/>
      <c r="E279" s="345"/>
      <c r="F279" s="319" t="s">
        <v>1315</v>
      </c>
      <c r="G279" s="320"/>
      <c r="H279" s="444"/>
      <c r="I279" s="445"/>
      <c r="J279" s="446"/>
      <c r="K279" s="346"/>
      <c r="L279" s="347"/>
    </row>
    <row r="280" spans="2:12" ht="15.75">
      <c r="B280" s="432"/>
      <c r="C280" s="326"/>
      <c r="D280" s="348"/>
      <c r="E280" s="349"/>
      <c r="F280" s="322"/>
      <c r="G280" s="323"/>
      <c r="H280" s="447"/>
      <c r="I280" s="448"/>
      <c r="J280" s="449"/>
      <c r="K280" s="350"/>
      <c r="L280" s="351"/>
    </row>
    <row r="281" spans="2:12" ht="15.75">
      <c r="B281" s="239" t="str">
        <f>+B279</f>
        <v>O .</v>
      </c>
      <c r="C281" s="240" t="s">
        <v>894</v>
      </c>
      <c r="D281" s="249"/>
      <c r="E281" s="250"/>
      <c r="F281" s="254" t="s">
        <v>1316</v>
      </c>
      <c r="G281" s="244"/>
      <c r="H281" s="411"/>
      <c r="I281" s="412"/>
      <c r="J281" s="431"/>
      <c r="K281" s="252"/>
      <c r="L281" s="253"/>
    </row>
    <row r="282" spans="2:12" ht="15.75">
      <c r="B282" s="239" t="str">
        <f>+B281</f>
        <v>O .</v>
      </c>
      <c r="C282" s="240" t="s">
        <v>898</v>
      </c>
      <c r="D282" s="249"/>
      <c r="E282" s="250"/>
      <c r="F282" s="254" t="s">
        <v>1317</v>
      </c>
      <c r="G282" s="244" t="s">
        <v>1318</v>
      </c>
      <c r="H282" s="414">
        <v>0</v>
      </c>
      <c r="I282" s="415">
        <v>0</v>
      </c>
      <c r="J282" s="413">
        <f>+K282-(H282+I282)</f>
        <v>115500</v>
      </c>
      <c r="K282" s="252">
        <v>115500</v>
      </c>
      <c r="L282" s="253">
        <f>+$K282*$L$5</f>
        <v>138600</v>
      </c>
    </row>
    <row r="283" spans="2:12" ht="15.75">
      <c r="B283" s="239" t="str">
        <f aca="true" t="shared" si="30" ref="B283:B295">+B282</f>
        <v>O .</v>
      </c>
      <c r="C283" s="240" t="s">
        <v>902</v>
      </c>
      <c r="D283" s="249"/>
      <c r="E283" s="250"/>
      <c r="F283" s="254" t="s">
        <v>1319</v>
      </c>
      <c r="G283" s="244" t="s">
        <v>1318</v>
      </c>
      <c r="H283" s="414">
        <v>0</v>
      </c>
      <c r="I283" s="415">
        <v>0</v>
      </c>
      <c r="J283" s="413">
        <f>+K283-(H283+I283)</f>
        <v>173250</v>
      </c>
      <c r="K283" s="252">
        <v>173250</v>
      </c>
      <c r="L283" s="253">
        <f>+$K283*$L$5</f>
        <v>207900</v>
      </c>
    </row>
    <row r="284" spans="2:12" ht="15.75">
      <c r="B284" s="239" t="str">
        <f t="shared" si="30"/>
        <v>O .</v>
      </c>
      <c r="C284" s="240" t="s">
        <v>905</v>
      </c>
      <c r="D284" s="249"/>
      <c r="E284" s="250"/>
      <c r="F284" s="254" t="s">
        <v>1320</v>
      </c>
      <c r="G284" s="244" t="s">
        <v>1318</v>
      </c>
      <c r="H284" s="414">
        <v>0</v>
      </c>
      <c r="I284" s="415">
        <v>0</v>
      </c>
      <c r="J284" s="413">
        <f>+K284-(H284+I284)</f>
        <v>288750</v>
      </c>
      <c r="K284" s="252">
        <v>288750</v>
      </c>
      <c r="L284" s="253">
        <f>+$K284*$L$5</f>
        <v>346500</v>
      </c>
    </row>
    <row r="285" spans="2:12" ht="15.75">
      <c r="B285" s="239" t="str">
        <f t="shared" si="30"/>
        <v>O .</v>
      </c>
      <c r="C285" s="240" t="s">
        <v>909</v>
      </c>
      <c r="D285" s="249"/>
      <c r="E285" s="250"/>
      <c r="F285" s="254" t="s">
        <v>798</v>
      </c>
      <c r="G285" s="244" t="s">
        <v>1254</v>
      </c>
      <c r="H285" s="414">
        <v>0</v>
      </c>
      <c r="I285" s="415">
        <v>0</v>
      </c>
      <c r="J285" s="413">
        <f>+K285-(H285+I285)</f>
        <v>20000</v>
      </c>
      <c r="K285" s="252">
        <v>20000</v>
      </c>
      <c r="L285" s="253">
        <f>+$K285*$L$5</f>
        <v>24000</v>
      </c>
    </row>
    <row r="286" spans="2:12" ht="15.75">
      <c r="B286" s="239"/>
      <c r="C286" s="240"/>
      <c r="D286" s="249"/>
      <c r="E286" s="250"/>
      <c r="F286" s="254" t="s">
        <v>1321</v>
      </c>
      <c r="G286" s="244"/>
      <c r="H286" s="411"/>
      <c r="I286" s="412"/>
      <c r="J286" s="431"/>
      <c r="K286" s="252"/>
      <c r="L286" s="253"/>
    </row>
    <row r="287" spans="2:12" ht="15.75">
      <c r="B287" s="239" t="str">
        <f>+B285</f>
        <v>O .</v>
      </c>
      <c r="C287" s="240" t="s">
        <v>912</v>
      </c>
      <c r="D287" s="249"/>
      <c r="E287" s="250"/>
      <c r="F287" s="254" t="s">
        <v>799</v>
      </c>
      <c r="G287" s="244" t="s">
        <v>1296</v>
      </c>
      <c r="H287" s="414">
        <v>0</v>
      </c>
      <c r="I287" s="415">
        <v>0</v>
      </c>
      <c r="J287" s="413">
        <f>+K287-(H287+I287)</f>
        <v>11550</v>
      </c>
      <c r="K287" s="252">
        <v>11550</v>
      </c>
      <c r="L287" s="253">
        <f>+$K287*$L$5</f>
        <v>13860</v>
      </c>
    </row>
    <row r="288" spans="2:12" ht="15.75">
      <c r="B288" s="239" t="str">
        <f t="shared" si="30"/>
        <v>O .</v>
      </c>
      <c r="C288" s="240" t="s">
        <v>914</v>
      </c>
      <c r="D288" s="249"/>
      <c r="E288" s="250"/>
      <c r="F288" s="254" t="s">
        <v>800</v>
      </c>
      <c r="G288" s="244" t="s">
        <v>1296</v>
      </c>
      <c r="H288" s="414">
        <v>0</v>
      </c>
      <c r="I288" s="415">
        <v>0</v>
      </c>
      <c r="J288" s="413">
        <f>+K288-(H288+I288)</f>
        <v>17325</v>
      </c>
      <c r="K288" s="252">
        <v>17325</v>
      </c>
      <c r="L288" s="253">
        <f>+$K288*$L$5</f>
        <v>20790</v>
      </c>
    </row>
    <row r="289" spans="2:12" ht="15.75">
      <c r="B289" s="239" t="str">
        <f t="shared" si="30"/>
        <v>O .</v>
      </c>
      <c r="C289" s="240" t="s">
        <v>916</v>
      </c>
      <c r="D289" s="249"/>
      <c r="E289" s="250"/>
      <c r="F289" s="254" t="s">
        <v>801</v>
      </c>
      <c r="G289" s="244" t="s">
        <v>1296</v>
      </c>
      <c r="H289" s="414">
        <v>0</v>
      </c>
      <c r="I289" s="415">
        <v>0</v>
      </c>
      <c r="J289" s="413">
        <f>+K289-(H289+I289)</f>
        <v>23100</v>
      </c>
      <c r="K289" s="252">
        <v>23100</v>
      </c>
      <c r="L289" s="253">
        <f>+$K289*$L$5</f>
        <v>27720</v>
      </c>
    </row>
    <row r="290" spans="2:12" ht="15.75">
      <c r="B290" s="239" t="str">
        <f t="shared" si="30"/>
        <v>O .</v>
      </c>
      <c r="C290" s="240" t="s">
        <v>918</v>
      </c>
      <c r="D290" s="249"/>
      <c r="E290" s="250"/>
      <c r="F290" s="254" t="s">
        <v>802</v>
      </c>
      <c r="G290" s="244" t="s">
        <v>1296</v>
      </c>
      <c r="H290" s="414">
        <v>0</v>
      </c>
      <c r="I290" s="415">
        <v>0</v>
      </c>
      <c r="J290" s="413">
        <f>+K290-(H290+I290)</f>
        <v>28875</v>
      </c>
      <c r="K290" s="252">
        <v>28875</v>
      </c>
      <c r="L290" s="253">
        <f>+$K290*$L$5</f>
        <v>34650</v>
      </c>
    </row>
    <row r="291" spans="2:12" ht="15.75">
      <c r="B291" s="239"/>
      <c r="C291" s="240"/>
      <c r="D291" s="249"/>
      <c r="E291" s="250"/>
      <c r="F291" s="254" t="s">
        <v>1322</v>
      </c>
      <c r="G291" s="244"/>
      <c r="H291" s="411"/>
      <c r="I291" s="412"/>
      <c r="J291" s="431"/>
      <c r="K291" s="252"/>
      <c r="L291" s="253"/>
    </row>
    <row r="292" spans="2:12" ht="15.75">
      <c r="B292" s="239" t="str">
        <f>+B290</f>
        <v>O .</v>
      </c>
      <c r="C292" s="240" t="s">
        <v>921</v>
      </c>
      <c r="D292" s="249"/>
      <c r="E292" s="250"/>
      <c r="F292" s="254" t="s">
        <v>799</v>
      </c>
      <c r="G292" s="244" t="s">
        <v>1254</v>
      </c>
      <c r="H292" s="414">
        <v>0</v>
      </c>
      <c r="I292" s="415">
        <v>0</v>
      </c>
      <c r="J292" s="413">
        <f>+K292-(H292+I292)</f>
        <v>1155</v>
      </c>
      <c r="K292" s="252">
        <v>1155</v>
      </c>
      <c r="L292" s="253">
        <f>+$K292*$L$5</f>
        <v>1386</v>
      </c>
    </row>
    <row r="293" spans="2:12" ht="15.75">
      <c r="B293" s="239" t="str">
        <f t="shared" si="30"/>
        <v>O .</v>
      </c>
      <c r="C293" s="240" t="s">
        <v>923</v>
      </c>
      <c r="D293" s="249"/>
      <c r="E293" s="250"/>
      <c r="F293" s="254" t="s">
        <v>800</v>
      </c>
      <c r="G293" s="244" t="s">
        <v>1254</v>
      </c>
      <c r="H293" s="414">
        <v>0</v>
      </c>
      <c r="I293" s="415">
        <v>0</v>
      </c>
      <c r="J293" s="413">
        <f>+K293-(H293+I293)</f>
        <v>1732</v>
      </c>
      <c r="K293" s="252">
        <v>1732</v>
      </c>
      <c r="L293" s="253">
        <f>+$K293*$L$5</f>
        <v>2078.4</v>
      </c>
    </row>
    <row r="294" spans="2:12" ht="15.75">
      <c r="B294" s="239" t="str">
        <f t="shared" si="30"/>
        <v>O .</v>
      </c>
      <c r="C294" s="240" t="s">
        <v>924</v>
      </c>
      <c r="D294" s="249"/>
      <c r="E294" s="250"/>
      <c r="F294" s="254" t="s">
        <v>801</v>
      </c>
      <c r="G294" s="244" t="s">
        <v>1254</v>
      </c>
      <c r="H294" s="414">
        <v>0</v>
      </c>
      <c r="I294" s="415">
        <v>0</v>
      </c>
      <c r="J294" s="413">
        <f>+K294-(H294+I294)</f>
        <v>2310</v>
      </c>
      <c r="K294" s="252">
        <v>2310</v>
      </c>
      <c r="L294" s="253">
        <f>+$K294*$L$5</f>
        <v>2772</v>
      </c>
    </row>
    <row r="295" spans="2:12" ht="15.75">
      <c r="B295" s="239" t="str">
        <f t="shared" si="30"/>
        <v>O .</v>
      </c>
      <c r="C295" s="240" t="s">
        <v>955</v>
      </c>
      <c r="D295" s="249"/>
      <c r="E295" s="250"/>
      <c r="F295" s="254" t="s">
        <v>802</v>
      </c>
      <c r="G295" s="244" t="s">
        <v>1254</v>
      </c>
      <c r="H295" s="414">
        <v>0</v>
      </c>
      <c r="I295" s="415">
        <v>0</v>
      </c>
      <c r="J295" s="413">
        <f>+K295-(H295+I295)</f>
        <v>2888</v>
      </c>
      <c r="K295" s="252">
        <v>2888</v>
      </c>
      <c r="L295" s="253">
        <f>+$K295*$L$5</f>
        <v>3465.6</v>
      </c>
    </row>
    <row r="296" spans="2:12" ht="15.75">
      <c r="B296" s="432"/>
      <c r="C296" s="352"/>
      <c r="D296" s="256"/>
      <c r="E296" s="257"/>
      <c r="F296" s="325"/>
      <c r="G296" s="279"/>
      <c r="H296" s="429"/>
      <c r="I296" s="430"/>
      <c r="J296" s="428"/>
      <c r="K296" s="260"/>
      <c r="L296" s="261"/>
    </row>
    <row r="297" spans="2:12" ht="16.5" thickBot="1">
      <c r="B297" s="683" t="s">
        <v>1323</v>
      </c>
      <c r="C297" s="684"/>
      <c r="D297" s="344"/>
      <c r="E297" s="345"/>
      <c r="F297" s="353" t="s">
        <v>1324</v>
      </c>
      <c r="G297" s="320"/>
      <c r="H297" s="444"/>
      <c r="I297" s="445"/>
      <c r="J297" s="446"/>
      <c r="K297" s="346"/>
      <c r="L297" s="347"/>
    </row>
    <row r="298" spans="2:12" ht="15.75">
      <c r="B298" s="432"/>
      <c r="C298" s="354"/>
      <c r="D298" s="348"/>
      <c r="E298" s="349"/>
      <c r="F298" s="355"/>
      <c r="G298" s="323"/>
      <c r="H298" s="447"/>
      <c r="I298" s="448"/>
      <c r="J298" s="449"/>
      <c r="K298" s="350"/>
      <c r="L298" s="351"/>
    </row>
    <row r="299" spans="2:12" ht="15.75">
      <c r="B299" s="239" t="str">
        <f>+B297</f>
        <v>P .</v>
      </c>
      <c r="C299" s="356" t="s">
        <v>894</v>
      </c>
      <c r="D299" s="249"/>
      <c r="E299" s="250"/>
      <c r="F299" s="254" t="s">
        <v>803</v>
      </c>
      <c r="G299" s="357" t="s">
        <v>908</v>
      </c>
      <c r="H299" s="470"/>
      <c r="I299" s="471"/>
      <c r="J299" s="472"/>
      <c r="K299" s="252">
        <v>55000</v>
      </c>
      <c r="L299" s="253">
        <f aca="true" t="shared" si="31" ref="L299:L315">+$K299*$L$5</f>
        <v>66000</v>
      </c>
    </row>
    <row r="300" spans="2:12" ht="15.75">
      <c r="B300" s="239" t="str">
        <f>+B299</f>
        <v>P .</v>
      </c>
      <c r="C300" s="356" t="s">
        <v>898</v>
      </c>
      <c r="D300" s="249"/>
      <c r="E300" s="250"/>
      <c r="F300" s="254" t="s">
        <v>804</v>
      </c>
      <c r="G300" s="357" t="s">
        <v>1325</v>
      </c>
      <c r="H300" s="414">
        <v>0</v>
      </c>
      <c r="I300" s="415">
        <v>0</v>
      </c>
      <c r="J300" s="413">
        <f aca="true" t="shared" si="32" ref="J300:J309">+K300-(H300+I300)</f>
        <v>550</v>
      </c>
      <c r="K300" s="252">
        <v>550</v>
      </c>
      <c r="L300" s="253">
        <f t="shared" si="31"/>
        <v>660</v>
      </c>
    </row>
    <row r="301" spans="2:12" ht="15.75">
      <c r="B301" s="239" t="str">
        <f aca="true" t="shared" si="33" ref="B301:B315">+B300</f>
        <v>P .</v>
      </c>
      <c r="C301" s="356" t="s">
        <v>902</v>
      </c>
      <c r="D301" s="249"/>
      <c r="E301" s="250"/>
      <c r="F301" s="254" t="s">
        <v>805</v>
      </c>
      <c r="G301" s="357" t="s">
        <v>1325</v>
      </c>
      <c r="H301" s="414">
        <v>0</v>
      </c>
      <c r="I301" s="415">
        <v>0</v>
      </c>
      <c r="J301" s="413">
        <f t="shared" si="32"/>
        <v>586.56</v>
      </c>
      <c r="K301" s="350">
        <v>586.56</v>
      </c>
      <c r="L301" s="351">
        <f t="shared" si="31"/>
        <v>703.872</v>
      </c>
    </row>
    <row r="302" spans="2:12" ht="15.75">
      <c r="B302" s="239" t="str">
        <f t="shared" si="33"/>
        <v>P .</v>
      </c>
      <c r="C302" s="356" t="s">
        <v>905</v>
      </c>
      <c r="D302" s="249"/>
      <c r="E302" s="250"/>
      <c r="F302" s="254" t="s">
        <v>806</v>
      </c>
      <c r="G302" s="357" t="s">
        <v>1325</v>
      </c>
      <c r="H302" s="414">
        <v>0</v>
      </c>
      <c r="I302" s="415">
        <v>0</v>
      </c>
      <c r="J302" s="413">
        <f t="shared" si="32"/>
        <v>1911.75</v>
      </c>
      <c r="K302" s="252">
        <v>1911.75</v>
      </c>
      <c r="L302" s="253">
        <f t="shared" si="31"/>
        <v>2294.1</v>
      </c>
    </row>
    <row r="303" spans="2:12" ht="15.75">
      <c r="B303" s="239" t="str">
        <f t="shared" si="33"/>
        <v>P .</v>
      </c>
      <c r="C303" s="356" t="s">
        <v>909</v>
      </c>
      <c r="D303" s="249"/>
      <c r="E303" s="250"/>
      <c r="F303" s="254" t="s">
        <v>807</v>
      </c>
      <c r="G303" s="357" t="s">
        <v>1325</v>
      </c>
      <c r="H303" s="414">
        <v>0</v>
      </c>
      <c r="I303" s="415">
        <v>0</v>
      </c>
      <c r="J303" s="413">
        <f t="shared" si="32"/>
        <v>1911.75</v>
      </c>
      <c r="K303" s="252">
        <v>1911.75</v>
      </c>
      <c r="L303" s="253">
        <f t="shared" si="31"/>
        <v>2294.1</v>
      </c>
    </row>
    <row r="304" spans="2:12" ht="63">
      <c r="B304" s="239" t="str">
        <f t="shared" si="33"/>
        <v>P .</v>
      </c>
      <c r="C304" s="356" t="s">
        <v>912</v>
      </c>
      <c r="D304" s="249"/>
      <c r="E304" s="250"/>
      <c r="F304" s="288" t="s">
        <v>808</v>
      </c>
      <c r="G304" s="357" t="s">
        <v>1325</v>
      </c>
      <c r="H304" s="414">
        <v>0</v>
      </c>
      <c r="I304" s="415">
        <v>0</v>
      </c>
      <c r="J304" s="413">
        <f t="shared" si="32"/>
        <v>16500</v>
      </c>
      <c r="K304" s="252">
        <v>16500</v>
      </c>
      <c r="L304" s="253">
        <f t="shared" si="31"/>
        <v>19800</v>
      </c>
    </row>
    <row r="305" spans="2:12" ht="15.75">
      <c r="B305" s="239" t="str">
        <f t="shared" si="33"/>
        <v>P .</v>
      </c>
      <c r="C305" s="356" t="s">
        <v>914</v>
      </c>
      <c r="D305" s="249"/>
      <c r="E305" s="250"/>
      <c r="F305" s="254" t="s">
        <v>809</v>
      </c>
      <c r="G305" s="357" t="s">
        <v>1325</v>
      </c>
      <c r="H305" s="414">
        <v>0</v>
      </c>
      <c r="I305" s="415">
        <v>0</v>
      </c>
      <c r="J305" s="413">
        <f t="shared" si="32"/>
        <v>4110.48</v>
      </c>
      <c r="K305" s="252">
        <v>4110.48</v>
      </c>
      <c r="L305" s="253">
        <f t="shared" si="31"/>
        <v>4932.575999999999</v>
      </c>
    </row>
    <row r="306" spans="2:12" ht="15.75">
      <c r="B306" s="239" t="str">
        <f t="shared" si="33"/>
        <v>P .</v>
      </c>
      <c r="C306" s="356" t="s">
        <v>916</v>
      </c>
      <c r="D306" s="249"/>
      <c r="E306" s="250"/>
      <c r="F306" s="254" t="s">
        <v>810</v>
      </c>
      <c r="G306" s="357" t="s">
        <v>1325</v>
      </c>
      <c r="H306" s="414">
        <v>0</v>
      </c>
      <c r="I306" s="415">
        <v>0</v>
      </c>
      <c r="J306" s="413">
        <f t="shared" si="32"/>
        <v>6185</v>
      </c>
      <c r="K306" s="252">
        <v>6185</v>
      </c>
      <c r="L306" s="253">
        <f t="shared" si="31"/>
        <v>7422</v>
      </c>
    </row>
    <row r="307" spans="2:12" ht="15.75">
      <c r="B307" s="239" t="str">
        <f t="shared" si="33"/>
        <v>P .</v>
      </c>
      <c r="C307" s="356" t="s">
        <v>918</v>
      </c>
      <c r="D307" s="249"/>
      <c r="E307" s="250"/>
      <c r="F307" s="254" t="s">
        <v>811</v>
      </c>
      <c r="G307" s="357" t="s">
        <v>908</v>
      </c>
      <c r="H307" s="414">
        <v>0</v>
      </c>
      <c r="I307" s="415">
        <v>0</v>
      </c>
      <c r="J307" s="413">
        <f t="shared" si="32"/>
        <v>345</v>
      </c>
      <c r="K307" s="252">
        <v>345</v>
      </c>
      <c r="L307" s="253">
        <f t="shared" si="31"/>
        <v>414</v>
      </c>
    </row>
    <row r="308" spans="2:12" ht="15.75">
      <c r="B308" s="239" t="str">
        <f t="shared" si="33"/>
        <v>P .</v>
      </c>
      <c r="C308" s="356" t="s">
        <v>920</v>
      </c>
      <c r="D308" s="249"/>
      <c r="E308" s="250"/>
      <c r="F308" s="254" t="s">
        <v>812</v>
      </c>
      <c r="G308" s="357" t="s">
        <v>1295</v>
      </c>
      <c r="H308" s="414">
        <v>0</v>
      </c>
      <c r="I308" s="415">
        <v>0</v>
      </c>
      <c r="J308" s="413">
        <f t="shared" si="32"/>
        <v>9560</v>
      </c>
      <c r="K308" s="252">
        <v>9560</v>
      </c>
      <c r="L308" s="253">
        <f t="shared" si="31"/>
        <v>11472</v>
      </c>
    </row>
    <row r="309" spans="2:12" ht="15.75">
      <c r="B309" s="239" t="str">
        <f t="shared" si="33"/>
        <v>P .</v>
      </c>
      <c r="C309" s="356" t="s">
        <v>921</v>
      </c>
      <c r="D309" s="249"/>
      <c r="E309" s="250"/>
      <c r="F309" s="254" t="s">
        <v>813</v>
      </c>
      <c r="G309" s="357" t="s">
        <v>908</v>
      </c>
      <c r="H309" s="414">
        <v>0</v>
      </c>
      <c r="I309" s="415">
        <v>0</v>
      </c>
      <c r="J309" s="413">
        <f t="shared" si="32"/>
        <v>13450</v>
      </c>
      <c r="K309" s="252">
        <v>13450</v>
      </c>
      <c r="L309" s="253">
        <f t="shared" si="31"/>
        <v>16140</v>
      </c>
    </row>
    <row r="310" spans="2:12" ht="15.75">
      <c r="B310" s="239" t="str">
        <f t="shared" si="33"/>
        <v>P .</v>
      </c>
      <c r="C310" s="356" t="s">
        <v>923</v>
      </c>
      <c r="D310" s="249"/>
      <c r="E310" s="250"/>
      <c r="F310" s="254" t="s">
        <v>814</v>
      </c>
      <c r="G310" s="357" t="s">
        <v>1046</v>
      </c>
      <c r="H310" s="470">
        <v>600</v>
      </c>
      <c r="I310" s="415">
        <v>0</v>
      </c>
      <c r="J310" s="472">
        <v>90</v>
      </c>
      <c r="K310" s="252">
        <v>690</v>
      </c>
      <c r="L310" s="253">
        <f t="shared" si="31"/>
        <v>828</v>
      </c>
    </row>
    <row r="311" spans="2:12" ht="15.75">
      <c r="B311" s="239" t="str">
        <f t="shared" si="33"/>
        <v>P .</v>
      </c>
      <c r="C311" s="356" t="s">
        <v>924</v>
      </c>
      <c r="D311" s="249"/>
      <c r="E311" s="250"/>
      <c r="F311" s="254" t="s">
        <v>815</v>
      </c>
      <c r="G311" s="357" t="s">
        <v>1325</v>
      </c>
      <c r="H311" s="414">
        <v>0</v>
      </c>
      <c r="I311" s="415">
        <v>0</v>
      </c>
      <c r="J311" s="413">
        <f>+K311-(H311+I311)</f>
        <v>2750</v>
      </c>
      <c r="K311" s="252">
        <v>2750</v>
      </c>
      <c r="L311" s="253">
        <f t="shared" si="31"/>
        <v>3300</v>
      </c>
    </row>
    <row r="312" spans="2:12" ht="15.75">
      <c r="B312" s="239" t="str">
        <f t="shared" si="33"/>
        <v>P .</v>
      </c>
      <c r="C312" s="356" t="s">
        <v>955</v>
      </c>
      <c r="D312" s="249"/>
      <c r="E312" s="250"/>
      <c r="F312" s="254" t="s">
        <v>816</v>
      </c>
      <c r="G312" s="244" t="s">
        <v>897</v>
      </c>
      <c r="H312" s="414">
        <v>0</v>
      </c>
      <c r="I312" s="415">
        <v>0</v>
      </c>
      <c r="J312" s="413">
        <f>+K312-(H312+I312)</f>
        <v>345</v>
      </c>
      <c r="K312" s="252">
        <v>345</v>
      </c>
      <c r="L312" s="253">
        <f t="shared" si="31"/>
        <v>414</v>
      </c>
    </row>
    <row r="313" spans="2:12" ht="15.75">
      <c r="B313" s="239" t="str">
        <f t="shared" si="33"/>
        <v>P .</v>
      </c>
      <c r="C313" s="356" t="s">
        <v>958</v>
      </c>
      <c r="D313" s="249"/>
      <c r="E313" s="250"/>
      <c r="F313" s="254" t="s">
        <v>817</v>
      </c>
      <c r="G313" s="244" t="s">
        <v>897</v>
      </c>
      <c r="H313" s="414">
        <v>0</v>
      </c>
      <c r="I313" s="415">
        <v>0</v>
      </c>
      <c r="J313" s="413">
        <f>+K313-(H313+I313)</f>
        <v>550</v>
      </c>
      <c r="K313" s="252">
        <v>550</v>
      </c>
      <c r="L313" s="253">
        <f t="shared" si="31"/>
        <v>660</v>
      </c>
    </row>
    <row r="314" spans="2:12" ht="15.75">
      <c r="B314" s="239" t="str">
        <f t="shared" si="33"/>
        <v>P .</v>
      </c>
      <c r="C314" s="356" t="s">
        <v>961</v>
      </c>
      <c r="D314" s="249"/>
      <c r="E314" s="250"/>
      <c r="F314" s="254" t="s">
        <v>818</v>
      </c>
      <c r="G314" s="244" t="s">
        <v>897</v>
      </c>
      <c r="H314" s="414">
        <v>0</v>
      </c>
      <c r="I314" s="415">
        <v>0</v>
      </c>
      <c r="J314" s="413">
        <f>+K314-(H314+I314)</f>
        <v>506</v>
      </c>
      <c r="K314" s="252">
        <v>506</v>
      </c>
      <c r="L314" s="253">
        <f t="shared" si="31"/>
        <v>607.1999999999999</v>
      </c>
    </row>
    <row r="315" spans="2:12" ht="15.75">
      <c r="B315" s="239" t="str">
        <f t="shared" si="33"/>
        <v>P .</v>
      </c>
      <c r="C315" s="356" t="s">
        <v>964</v>
      </c>
      <c r="D315" s="249"/>
      <c r="E315" s="250"/>
      <c r="F315" s="254" t="s">
        <v>819</v>
      </c>
      <c r="G315" s="357" t="s">
        <v>1326</v>
      </c>
      <c r="H315" s="470">
        <v>400</v>
      </c>
      <c r="I315" s="415">
        <v>0</v>
      </c>
      <c r="J315" s="472">
        <v>40</v>
      </c>
      <c r="K315" s="252">
        <v>440</v>
      </c>
      <c r="L315" s="253">
        <f t="shared" si="31"/>
        <v>528</v>
      </c>
    </row>
    <row r="316" spans="2:12" ht="15.75">
      <c r="B316" s="432"/>
      <c r="C316" s="352"/>
      <c r="D316" s="256"/>
      <c r="E316" s="257"/>
      <c r="F316" s="325"/>
      <c r="G316" s="358"/>
      <c r="H316" s="473"/>
      <c r="I316" s="474"/>
      <c r="J316" s="475"/>
      <c r="K316" s="260"/>
      <c r="L316" s="261"/>
    </row>
    <row r="317" spans="2:12" ht="16.5" thickBot="1">
      <c r="B317" s="681" t="s">
        <v>1327</v>
      </c>
      <c r="C317" s="682"/>
      <c r="D317" s="344"/>
      <c r="E317" s="345"/>
      <c r="F317" s="359" t="s">
        <v>1328</v>
      </c>
      <c r="G317" s="320"/>
      <c r="H317" s="444"/>
      <c r="I317" s="445"/>
      <c r="J317" s="446"/>
      <c r="K317" s="346"/>
      <c r="L317" s="347"/>
    </row>
    <row r="318" spans="2:12" ht="15.75">
      <c r="B318" s="432"/>
      <c r="C318" s="333"/>
      <c r="D318" s="348"/>
      <c r="E318" s="349"/>
      <c r="F318" s="360"/>
      <c r="G318" s="323"/>
      <c r="H318" s="447"/>
      <c r="I318" s="448"/>
      <c r="J318" s="449"/>
      <c r="K318" s="350"/>
      <c r="L318" s="351"/>
    </row>
    <row r="319" spans="2:12" ht="15.75">
      <c r="B319" s="239" t="str">
        <f>+B317</f>
        <v>R .</v>
      </c>
      <c r="C319" s="240" t="s">
        <v>894</v>
      </c>
      <c r="D319" s="249"/>
      <c r="E319" s="250"/>
      <c r="F319" s="254" t="s">
        <v>820</v>
      </c>
      <c r="G319" s="244" t="s">
        <v>1254</v>
      </c>
      <c r="H319" s="414">
        <v>0</v>
      </c>
      <c r="I319" s="415">
        <v>0</v>
      </c>
      <c r="J319" s="413">
        <f aca="true" t="shared" si="34" ref="J319:J338">+K319-(H319+I319)</f>
        <v>42000</v>
      </c>
      <c r="K319" s="252">
        <v>42000</v>
      </c>
      <c r="L319" s="253">
        <f aca="true" t="shared" si="35" ref="L319:L338">+$K319*$L$5</f>
        <v>50400</v>
      </c>
    </row>
    <row r="320" spans="2:12" ht="15.75">
      <c r="B320" s="239" t="str">
        <f>+B319</f>
        <v>R .</v>
      </c>
      <c r="C320" s="240" t="s">
        <v>898</v>
      </c>
      <c r="D320" s="249"/>
      <c r="E320" s="250"/>
      <c r="F320" s="254" t="s">
        <v>820</v>
      </c>
      <c r="G320" s="244" t="s">
        <v>1295</v>
      </c>
      <c r="H320" s="414">
        <v>0</v>
      </c>
      <c r="I320" s="415">
        <v>0</v>
      </c>
      <c r="J320" s="413">
        <f t="shared" si="34"/>
        <v>138000</v>
      </c>
      <c r="K320" s="252">
        <v>138000</v>
      </c>
      <c r="L320" s="253">
        <f t="shared" si="35"/>
        <v>165600</v>
      </c>
    </row>
    <row r="321" spans="2:12" ht="15.75">
      <c r="B321" s="239" t="str">
        <f aca="true" t="shared" si="36" ref="B321:B338">+B320</f>
        <v>R .</v>
      </c>
      <c r="C321" s="240" t="s">
        <v>902</v>
      </c>
      <c r="D321" s="249"/>
      <c r="E321" s="250"/>
      <c r="F321" s="254" t="s">
        <v>821</v>
      </c>
      <c r="G321" s="244" t="s">
        <v>1254</v>
      </c>
      <c r="H321" s="414">
        <v>0</v>
      </c>
      <c r="I321" s="415">
        <v>0</v>
      </c>
      <c r="J321" s="413">
        <f t="shared" si="34"/>
        <v>6900</v>
      </c>
      <c r="K321" s="252">
        <v>6900</v>
      </c>
      <c r="L321" s="253">
        <f t="shared" si="35"/>
        <v>8280</v>
      </c>
    </row>
    <row r="322" spans="2:12" ht="15.75">
      <c r="B322" s="239" t="str">
        <f t="shared" si="36"/>
        <v>R .</v>
      </c>
      <c r="C322" s="240" t="s">
        <v>905</v>
      </c>
      <c r="D322" s="249"/>
      <c r="E322" s="250"/>
      <c r="F322" s="254" t="s">
        <v>821</v>
      </c>
      <c r="G322" s="244" t="s">
        <v>1295</v>
      </c>
      <c r="H322" s="414">
        <v>0</v>
      </c>
      <c r="I322" s="415">
        <v>0</v>
      </c>
      <c r="J322" s="413">
        <f t="shared" si="34"/>
        <v>27600</v>
      </c>
      <c r="K322" s="252">
        <v>27600</v>
      </c>
      <c r="L322" s="253">
        <f t="shared" si="35"/>
        <v>33120</v>
      </c>
    </row>
    <row r="323" spans="2:12" ht="15.75">
      <c r="B323" s="239" t="str">
        <f t="shared" si="36"/>
        <v>R .</v>
      </c>
      <c r="C323" s="240" t="s">
        <v>909</v>
      </c>
      <c r="D323" s="249"/>
      <c r="E323" s="250"/>
      <c r="F323" s="254" t="s">
        <v>822</v>
      </c>
      <c r="G323" s="244" t="s">
        <v>1254</v>
      </c>
      <c r="H323" s="414">
        <v>0</v>
      </c>
      <c r="I323" s="415">
        <v>0</v>
      </c>
      <c r="J323" s="413">
        <f t="shared" si="34"/>
        <v>13800</v>
      </c>
      <c r="K323" s="252">
        <v>13800</v>
      </c>
      <c r="L323" s="253">
        <f t="shared" si="35"/>
        <v>16560</v>
      </c>
    </row>
    <row r="324" spans="2:12" ht="15.75">
      <c r="B324" s="239" t="str">
        <f t="shared" si="36"/>
        <v>R .</v>
      </c>
      <c r="C324" s="240" t="s">
        <v>912</v>
      </c>
      <c r="D324" s="249"/>
      <c r="E324" s="250"/>
      <c r="F324" s="254" t="s">
        <v>822</v>
      </c>
      <c r="G324" s="244" t="s">
        <v>1295</v>
      </c>
      <c r="H324" s="414">
        <v>0</v>
      </c>
      <c r="I324" s="415">
        <v>0</v>
      </c>
      <c r="J324" s="413">
        <f t="shared" si="34"/>
        <v>55200</v>
      </c>
      <c r="K324" s="252">
        <v>55200</v>
      </c>
      <c r="L324" s="253">
        <f t="shared" si="35"/>
        <v>66240</v>
      </c>
    </row>
    <row r="325" spans="2:12" ht="15.75">
      <c r="B325" s="239" t="str">
        <f t="shared" si="36"/>
        <v>R .</v>
      </c>
      <c r="C325" s="240" t="s">
        <v>914</v>
      </c>
      <c r="D325" s="249"/>
      <c r="E325" s="250"/>
      <c r="F325" s="254" t="s">
        <v>823</v>
      </c>
      <c r="G325" s="244" t="s">
        <v>1254</v>
      </c>
      <c r="H325" s="414">
        <v>0</v>
      </c>
      <c r="I325" s="415">
        <v>0</v>
      </c>
      <c r="J325" s="413">
        <f t="shared" si="34"/>
        <v>20700</v>
      </c>
      <c r="K325" s="252">
        <v>20700</v>
      </c>
      <c r="L325" s="253">
        <f t="shared" si="35"/>
        <v>24840</v>
      </c>
    </row>
    <row r="326" spans="2:12" ht="15.75">
      <c r="B326" s="239" t="str">
        <f t="shared" si="36"/>
        <v>R .</v>
      </c>
      <c r="C326" s="240" t="s">
        <v>916</v>
      </c>
      <c r="D326" s="249"/>
      <c r="E326" s="250"/>
      <c r="F326" s="254" t="s">
        <v>823</v>
      </c>
      <c r="G326" s="244" t="s">
        <v>1295</v>
      </c>
      <c r="H326" s="414">
        <v>0</v>
      </c>
      <c r="I326" s="415">
        <v>0</v>
      </c>
      <c r="J326" s="413">
        <f t="shared" si="34"/>
        <v>69000</v>
      </c>
      <c r="K326" s="252">
        <v>69000</v>
      </c>
      <c r="L326" s="253">
        <f t="shared" si="35"/>
        <v>82800</v>
      </c>
    </row>
    <row r="327" spans="2:12" ht="15.75">
      <c r="B327" s="239" t="str">
        <f t="shared" si="36"/>
        <v>R .</v>
      </c>
      <c r="C327" s="240" t="s">
        <v>918</v>
      </c>
      <c r="D327" s="249"/>
      <c r="E327" s="250"/>
      <c r="F327" s="254" t="s">
        <v>824</v>
      </c>
      <c r="G327" s="244" t="s">
        <v>1295</v>
      </c>
      <c r="H327" s="414">
        <v>0</v>
      </c>
      <c r="I327" s="415">
        <v>0</v>
      </c>
      <c r="J327" s="413">
        <f t="shared" si="34"/>
        <v>27600</v>
      </c>
      <c r="K327" s="252">
        <v>27600</v>
      </c>
      <c r="L327" s="253">
        <f t="shared" si="35"/>
        <v>33120</v>
      </c>
    </row>
    <row r="328" spans="2:12" ht="15.75">
      <c r="B328" s="239" t="str">
        <f t="shared" si="36"/>
        <v>R .</v>
      </c>
      <c r="C328" s="240" t="s">
        <v>920</v>
      </c>
      <c r="D328" s="249"/>
      <c r="E328" s="250"/>
      <c r="F328" s="254" t="s">
        <v>825</v>
      </c>
      <c r="G328" s="244" t="s">
        <v>1254</v>
      </c>
      <c r="H328" s="414">
        <v>0</v>
      </c>
      <c r="I328" s="415">
        <v>0</v>
      </c>
      <c r="J328" s="413">
        <f t="shared" si="34"/>
        <v>2760</v>
      </c>
      <c r="K328" s="252">
        <v>2760</v>
      </c>
      <c r="L328" s="253">
        <f t="shared" si="35"/>
        <v>3312</v>
      </c>
    </row>
    <row r="329" spans="2:12" ht="15.75">
      <c r="B329" s="239" t="str">
        <f t="shared" si="36"/>
        <v>R .</v>
      </c>
      <c r="C329" s="240" t="s">
        <v>921</v>
      </c>
      <c r="D329" s="249"/>
      <c r="E329" s="250"/>
      <c r="F329" s="254" t="s">
        <v>825</v>
      </c>
      <c r="G329" s="244" t="s">
        <v>1295</v>
      </c>
      <c r="H329" s="414">
        <v>0</v>
      </c>
      <c r="I329" s="415">
        <v>0</v>
      </c>
      <c r="J329" s="413">
        <f t="shared" si="34"/>
        <v>6900</v>
      </c>
      <c r="K329" s="252">
        <v>6900</v>
      </c>
      <c r="L329" s="253">
        <f t="shared" si="35"/>
        <v>8280</v>
      </c>
    </row>
    <row r="330" spans="2:12" ht="15.75">
      <c r="B330" s="239" t="str">
        <f t="shared" si="36"/>
        <v>R .</v>
      </c>
      <c r="C330" s="240" t="s">
        <v>923</v>
      </c>
      <c r="D330" s="249"/>
      <c r="E330" s="250"/>
      <c r="F330" s="254" t="s">
        <v>826</v>
      </c>
      <c r="G330" s="244" t="s">
        <v>1254</v>
      </c>
      <c r="H330" s="414">
        <v>0</v>
      </c>
      <c r="I330" s="415">
        <v>0</v>
      </c>
      <c r="J330" s="413">
        <f t="shared" si="34"/>
        <v>27600</v>
      </c>
      <c r="K330" s="252">
        <v>27600</v>
      </c>
      <c r="L330" s="253">
        <f t="shared" si="35"/>
        <v>33120</v>
      </c>
    </row>
    <row r="331" spans="2:12" ht="15.75">
      <c r="B331" s="239" t="str">
        <f t="shared" si="36"/>
        <v>R .</v>
      </c>
      <c r="C331" s="240" t="s">
        <v>924</v>
      </c>
      <c r="D331" s="249"/>
      <c r="E331" s="250"/>
      <c r="F331" s="254" t="s">
        <v>827</v>
      </c>
      <c r="G331" s="244" t="s">
        <v>1295</v>
      </c>
      <c r="H331" s="414">
        <v>0</v>
      </c>
      <c r="I331" s="415">
        <v>0</v>
      </c>
      <c r="J331" s="413">
        <f t="shared" si="34"/>
        <v>276000</v>
      </c>
      <c r="K331" s="252">
        <v>276000</v>
      </c>
      <c r="L331" s="253">
        <f t="shared" si="35"/>
        <v>331200</v>
      </c>
    </row>
    <row r="332" spans="2:12" ht="15.75">
      <c r="B332" s="239" t="str">
        <f t="shared" si="36"/>
        <v>R .</v>
      </c>
      <c r="C332" s="240" t="s">
        <v>955</v>
      </c>
      <c r="D332" s="249"/>
      <c r="E332" s="250"/>
      <c r="F332" s="254" t="s">
        <v>828</v>
      </c>
      <c r="G332" s="244" t="s">
        <v>1254</v>
      </c>
      <c r="H332" s="414">
        <v>0</v>
      </c>
      <c r="I332" s="415">
        <v>0</v>
      </c>
      <c r="J332" s="413">
        <f t="shared" si="34"/>
        <v>48300</v>
      </c>
      <c r="K332" s="252">
        <v>48300</v>
      </c>
      <c r="L332" s="253">
        <f t="shared" si="35"/>
        <v>57960</v>
      </c>
    </row>
    <row r="333" spans="2:12" ht="15.75">
      <c r="B333" s="239" t="str">
        <f t="shared" si="36"/>
        <v>R .</v>
      </c>
      <c r="C333" s="240" t="s">
        <v>958</v>
      </c>
      <c r="D333" s="249"/>
      <c r="E333" s="250"/>
      <c r="F333" s="254" t="s">
        <v>828</v>
      </c>
      <c r="G333" s="244" t="s">
        <v>1295</v>
      </c>
      <c r="H333" s="414">
        <v>0</v>
      </c>
      <c r="I333" s="415">
        <v>0</v>
      </c>
      <c r="J333" s="413">
        <f t="shared" si="34"/>
        <v>483000</v>
      </c>
      <c r="K333" s="252">
        <v>483000</v>
      </c>
      <c r="L333" s="253">
        <f t="shared" si="35"/>
        <v>579600</v>
      </c>
    </row>
    <row r="334" spans="2:12" ht="47.25">
      <c r="B334" s="239" t="str">
        <f t="shared" si="36"/>
        <v>R .</v>
      </c>
      <c r="C334" s="240" t="s">
        <v>961</v>
      </c>
      <c r="D334" s="249"/>
      <c r="E334" s="250"/>
      <c r="F334" s="288" t="s">
        <v>829</v>
      </c>
      <c r="G334" s="244" t="s">
        <v>1295</v>
      </c>
      <c r="H334" s="414">
        <v>0</v>
      </c>
      <c r="I334" s="415">
        <v>0</v>
      </c>
      <c r="J334" s="413">
        <f t="shared" si="34"/>
        <v>552000</v>
      </c>
      <c r="K334" s="252">
        <v>552000</v>
      </c>
      <c r="L334" s="253">
        <f t="shared" si="35"/>
        <v>662400</v>
      </c>
    </row>
    <row r="335" spans="2:12" ht="47.25">
      <c r="B335" s="239" t="str">
        <f t="shared" si="36"/>
        <v>R .</v>
      </c>
      <c r="C335" s="240" t="s">
        <v>964</v>
      </c>
      <c r="D335" s="249"/>
      <c r="E335" s="250"/>
      <c r="F335" s="288" t="s">
        <v>829</v>
      </c>
      <c r="G335" s="244" t="s">
        <v>1295</v>
      </c>
      <c r="H335" s="414">
        <v>0</v>
      </c>
      <c r="I335" s="415">
        <v>0</v>
      </c>
      <c r="J335" s="413">
        <f t="shared" si="34"/>
        <v>828000</v>
      </c>
      <c r="K335" s="252">
        <v>828000</v>
      </c>
      <c r="L335" s="253">
        <f t="shared" si="35"/>
        <v>993600</v>
      </c>
    </row>
    <row r="336" spans="2:12" ht="15.75">
      <c r="B336" s="239" t="str">
        <f t="shared" si="36"/>
        <v>R .</v>
      </c>
      <c r="C336" s="240" t="s">
        <v>967</v>
      </c>
      <c r="D336" s="249"/>
      <c r="E336" s="250"/>
      <c r="F336" s="254" t="s">
        <v>1376</v>
      </c>
      <c r="G336" s="244" t="s">
        <v>1295</v>
      </c>
      <c r="H336" s="414">
        <v>0</v>
      </c>
      <c r="I336" s="415">
        <v>0</v>
      </c>
      <c r="J336" s="413">
        <f t="shared" si="34"/>
        <v>138000</v>
      </c>
      <c r="K336" s="252">
        <v>138000</v>
      </c>
      <c r="L336" s="253">
        <f t="shared" si="35"/>
        <v>165600</v>
      </c>
    </row>
    <row r="337" spans="2:12" ht="15.75">
      <c r="B337" s="239" t="str">
        <f t="shared" si="36"/>
        <v>R .</v>
      </c>
      <c r="C337" s="240" t="s">
        <v>970</v>
      </c>
      <c r="D337" s="249"/>
      <c r="E337" s="250"/>
      <c r="F337" s="254" t="s">
        <v>830</v>
      </c>
      <c r="G337" s="244" t="s">
        <v>1295</v>
      </c>
      <c r="H337" s="414">
        <v>0</v>
      </c>
      <c r="I337" s="415">
        <v>0</v>
      </c>
      <c r="J337" s="413">
        <f t="shared" si="34"/>
        <v>276000</v>
      </c>
      <c r="K337" s="252">
        <v>276000</v>
      </c>
      <c r="L337" s="253">
        <f t="shared" si="35"/>
        <v>331200</v>
      </c>
    </row>
    <row r="338" spans="2:12" ht="15.75">
      <c r="B338" s="239" t="str">
        <f t="shared" si="36"/>
        <v>R .</v>
      </c>
      <c r="C338" s="240" t="s">
        <v>973</v>
      </c>
      <c r="D338" s="249"/>
      <c r="E338" s="250"/>
      <c r="F338" s="254" t="s">
        <v>831</v>
      </c>
      <c r="G338" s="244" t="s">
        <v>1295</v>
      </c>
      <c r="H338" s="414">
        <v>0</v>
      </c>
      <c r="I338" s="415">
        <v>0</v>
      </c>
      <c r="J338" s="413">
        <f t="shared" si="34"/>
        <v>110400</v>
      </c>
      <c r="K338" s="252">
        <v>110400</v>
      </c>
      <c r="L338" s="253">
        <f t="shared" si="35"/>
        <v>132480</v>
      </c>
    </row>
    <row r="339" spans="2:12" ht="15.75">
      <c r="B339" s="432"/>
      <c r="C339" s="285"/>
      <c r="D339" s="256"/>
      <c r="E339" s="257"/>
      <c r="F339" s="325"/>
      <c r="G339" s="279"/>
      <c r="H339" s="429"/>
      <c r="I339" s="430"/>
      <c r="J339" s="428"/>
      <c r="K339" s="260"/>
      <c r="L339" s="261"/>
    </row>
    <row r="340" spans="2:12" ht="16.5" thickBot="1">
      <c r="B340" s="683" t="s">
        <v>1329</v>
      </c>
      <c r="C340" s="684"/>
      <c r="D340" s="344"/>
      <c r="E340" s="345"/>
      <c r="F340" s="353" t="s">
        <v>1330</v>
      </c>
      <c r="G340" s="320"/>
      <c r="H340" s="444"/>
      <c r="I340" s="445"/>
      <c r="J340" s="446"/>
      <c r="K340" s="346"/>
      <c r="L340" s="347"/>
    </row>
    <row r="341" spans="2:12" ht="15.75">
      <c r="B341" s="432"/>
      <c r="C341" s="255"/>
      <c r="D341" s="256"/>
      <c r="E341" s="257"/>
      <c r="F341" s="325"/>
      <c r="G341" s="279"/>
      <c r="H341" s="429"/>
      <c r="I341" s="430"/>
      <c r="J341" s="428"/>
      <c r="K341" s="260"/>
      <c r="L341" s="261"/>
    </row>
    <row r="342" spans="2:12" ht="47.25">
      <c r="B342" s="239" t="str">
        <f>+B340</f>
        <v>S .</v>
      </c>
      <c r="C342" s="356" t="s">
        <v>894</v>
      </c>
      <c r="D342" s="249"/>
      <c r="E342" s="250"/>
      <c r="F342" s="288" t="s">
        <v>832</v>
      </c>
      <c r="G342" s="244" t="s">
        <v>1254</v>
      </c>
      <c r="H342" s="414">
        <v>0</v>
      </c>
      <c r="I342" s="415">
        <v>0</v>
      </c>
      <c r="J342" s="413">
        <f aca="true" t="shared" si="37" ref="J342:J347">+K342-(H342+I342)</f>
        <v>6187</v>
      </c>
      <c r="K342" s="252">
        <v>6187</v>
      </c>
      <c r="L342" s="253">
        <f aca="true" t="shared" si="38" ref="L342:L347">+$K342*$L$5</f>
        <v>7424.4</v>
      </c>
    </row>
    <row r="343" spans="2:12" ht="47.25">
      <c r="B343" s="239" t="str">
        <f>+B342</f>
        <v>S .</v>
      </c>
      <c r="C343" s="356" t="s">
        <v>898</v>
      </c>
      <c r="D343" s="249"/>
      <c r="E343" s="250"/>
      <c r="F343" s="288" t="s">
        <v>832</v>
      </c>
      <c r="G343" s="244" t="s">
        <v>1331</v>
      </c>
      <c r="H343" s="414">
        <v>0</v>
      </c>
      <c r="I343" s="415">
        <v>0</v>
      </c>
      <c r="J343" s="413">
        <f t="shared" si="37"/>
        <v>275</v>
      </c>
      <c r="K343" s="252">
        <v>275</v>
      </c>
      <c r="L343" s="253">
        <f t="shared" si="38"/>
        <v>330</v>
      </c>
    </row>
    <row r="344" spans="2:12" ht="31.5">
      <c r="B344" s="239" t="str">
        <f>+B343</f>
        <v>S .</v>
      </c>
      <c r="C344" s="356" t="s">
        <v>902</v>
      </c>
      <c r="D344" s="249"/>
      <c r="E344" s="250"/>
      <c r="F344" s="288" t="s">
        <v>833</v>
      </c>
      <c r="G344" s="244" t="s">
        <v>1332</v>
      </c>
      <c r="H344" s="414">
        <v>0</v>
      </c>
      <c r="I344" s="415">
        <v>0</v>
      </c>
      <c r="J344" s="413">
        <f t="shared" si="37"/>
        <v>120</v>
      </c>
      <c r="K344" s="252">
        <v>120</v>
      </c>
      <c r="L344" s="253">
        <f t="shared" si="38"/>
        <v>144</v>
      </c>
    </row>
    <row r="345" spans="2:12" ht="31.5">
      <c r="B345" s="239" t="str">
        <f>+B344</f>
        <v>S .</v>
      </c>
      <c r="C345" s="356" t="s">
        <v>905</v>
      </c>
      <c r="D345" s="249"/>
      <c r="E345" s="250"/>
      <c r="F345" s="288" t="s">
        <v>834</v>
      </c>
      <c r="G345" s="244" t="s">
        <v>1332</v>
      </c>
      <c r="H345" s="414">
        <v>0</v>
      </c>
      <c r="I345" s="415">
        <v>0</v>
      </c>
      <c r="J345" s="413">
        <f t="shared" si="37"/>
        <v>145</v>
      </c>
      <c r="K345" s="252">
        <v>145</v>
      </c>
      <c r="L345" s="253">
        <f t="shared" si="38"/>
        <v>174</v>
      </c>
    </row>
    <row r="346" spans="2:12" ht="15.75">
      <c r="B346" s="239" t="str">
        <f>+B345</f>
        <v>S .</v>
      </c>
      <c r="C346" s="356" t="s">
        <v>909</v>
      </c>
      <c r="D346" s="249"/>
      <c r="E346" s="250"/>
      <c r="F346" s="288" t="s">
        <v>835</v>
      </c>
      <c r="G346" s="244" t="s">
        <v>930</v>
      </c>
      <c r="H346" s="414">
        <v>0</v>
      </c>
      <c r="I346" s="415">
        <v>0</v>
      </c>
      <c r="J346" s="413">
        <f t="shared" si="37"/>
        <v>1375</v>
      </c>
      <c r="K346" s="252">
        <v>1375</v>
      </c>
      <c r="L346" s="253">
        <f t="shared" si="38"/>
        <v>1650</v>
      </c>
    </row>
    <row r="347" spans="2:12" ht="15.75">
      <c r="B347" s="239" t="str">
        <f>+B346</f>
        <v>S .</v>
      </c>
      <c r="C347" s="356" t="s">
        <v>912</v>
      </c>
      <c r="D347" s="249"/>
      <c r="E347" s="250"/>
      <c r="F347" s="288" t="s">
        <v>835</v>
      </c>
      <c r="G347" s="244" t="s">
        <v>1254</v>
      </c>
      <c r="H347" s="414">
        <v>0</v>
      </c>
      <c r="I347" s="415">
        <v>0</v>
      </c>
      <c r="J347" s="413">
        <f t="shared" si="37"/>
        <v>4812</v>
      </c>
      <c r="K347" s="252">
        <v>4812</v>
      </c>
      <c r="L347" s="253">
        <f t="shared" si="38"/>
        <v>5774.4</v>
      </c>
    </row>
    <row r="348" spans="2:12" ht="15.75">
      <c r="B348" s="432"/>
      <c r="C348" s="285"/>
      <c r="D348" s="256"/>
      <c r="E348" s="257"/>
      <c r="F348" s="325"/>
      <c r="G348" s="279"/>
      <c r="H348" s="429"/>
      <c r="I348" s="430"/>
      <c r="J348" s="428"/>
      <c r="K348" s="260"/>
      <c r="L348" s="261"/>
    </row>
    <row r="349" spans="2:12" ht="16.5" thickBot="1">
      <c r="B349" s="681" t="s">
        <v>1333</v>
      </c>
      <c r="C349" s="682"/>
      <c r="D349" s="344"/>
      <c r="E349" s="345"/>
      <c r="F349" s="353" t="s">
        <v>1373</v>
      </c>
      <c r="G349" s="320"/>
      <c r="H349" s="444"/>
      <c r="I349" s="445"/>
      <c r="J349" s="446"/>
      <c r="K349" s="346"/>
      <c r="L349" s="347"/>
    </row>
    <row r="350" spans="2:12" ht="15.75">
      <c r="B350" s="432"/>
      <c r="C350" s="290"/>
      <c r="D350" s="361"/>
      <c r="E350" s="362"/>
      <c r="F350" s="363"/>
      <c r="G350" s="364"/>
      <c r="H350" s="476"/>
      <c r="I350" s="477"/>
      <c r="J350" s="478"/>
      <c r="K350" s="365"/>
      <c r="L350" s="366"/>
    </row>
    <row r="351" spans="2:12" ht="16.5" thickBot="1">
      <c r="B351" s="681" t="s">
        <v>1334</v>
      </c>
      <c r="C351" s="682"/>
      <c r="D351" s="338"/>
      <c r="E351" s="234"/>
      <c r="F351" s="359" t="s">
        <v>1335</v>
      </c>
      <c r="G351" s="367"/>
      <c r="H351" s="461"/>
      <c r="I351" s="462"/>
      <c r="J351" s="463"/>
      <c r="K351" s="368"/>
      <c r="L351" s="369"/>
    </row>
    <row r="352" spans="2:12" ht="15.75">
      <c r="B352" s="432"/>
      <c r="C352" s="326"/>
      <c r="D352" s="340"/>
      <c r="E352" s="265"/>
      <c r="F352" s="360"/>
      <c r="G352" s="370"/>
      <c r="H352" s="464"/>
      <c r="I352" s="465"/>
      <c r="J352" s="466"/>
      <c r="K352" s="371"/>
      <c r="L352" s="372"/>
    </row>
    <row r="353" spans="2:12" ht="15.75">
      <c r="B353" s="239" t="str">
        <f>+B351</f>
        <v>U .</v>
      </c>
      <c r="C353" s="240" t="s">
        <v>894</v>
      </c>
      <c r="D353" s="249"/>
      <c r="E353" s="250"/>
      <c r="F353" s="254" t="s">
        <v>1336</v>
      </c>
      <c r="G353" s="244" t="s">
        <v>1254</v>
      </c>
      <c r="H353" s="414">
        <v>0</v>
      </c>
      <c r="I353" s="415">
        <v>0</v>
      </c>
      <c r="J353" s="413">
        <f>+K353-(H353+I353)</f>
        <v>2655.72</v>
      </c>
      <c r="K353" s="252">
        <v>2655.72</v>
      </c>
      <c r="L353" s="253">
        <f>+$K353*$L$5</f>
        <v>3186.8639999999996</v>
      </c>
    </row>
    <row r="354" spans="2:12" ht="15.75">
      <c r="B354" s="239" t="str">
        <f>+B353</f>
        <v>U .</v>
      </c>
      <c r="C354" s="240" t="s">
        <v>898</v>
      </c>
      <c r="D354" s="249"/>
      <c r="E354" s="250"/>
      <c r="F354" s="254" t="s">
        <v>836</v>
      </c>
      <c r="G354" s="244" t="s">
        <v>1254</v>
      </c>
      <c r="H354" s="414">
        <v>0</v>
      </c>
      <c r="I354" s="415">
        <v>0</v>
      </c>
      <c r="J354" s="413">
        <f>+K354-(H354+I354)</f>
        <v>2291.21</v>
      </c>
      <c r="K354" s="252">
        <v>2291.21</v>
      </c>
      <c r="L354" s="253">
        <f>+$K354*$L$5</f>
        <v>2749.4519999999998</v>
      </c>
    </row>
    <row r="355" spans="2:12" ht="15.75">
      <c r="B355" s="239" t="str">
        <f>+B354</f>
        <v>U .</v>
      </c>
      <c r="C355" s="240" t="s">
        <v>902</v>
      </c>
      <c r="D355" s="249"/>
      <c r="E355" s="250"/>
      <c r="F355" s="254" t="s">
        <v>1337</v>
      </c>
      <c r="G355" s="244" t="s">
        <v>1254</v>
      </c>
      <c r="H355" s="414">
        <v>0</v>
      </c>
      <c r="I355" s="415">
        <v>0</v>
      </c>
      <c r="J355" s="413">
        <f>+K355-(H355+I355)</f>
        <v>1978.77</v>
      </c>
      <c r="K355" s="252">
        <v>1978.77</v>
      </c>
      <c r="L355" s="253">
        <f>+$K355*$L$5</f>
        <v>2374.524</v>
      </c>
    </row>
    <row r="356" spans="2:12" ht="15.75">
      <c r="B356" s="239" t="str">
        <f>+B355</f>
        <v>U .</v>
      </c>
      <c r="C356" s="240" t="s">
        <v>905</v>
      </c>
      <c r="D356" s="249"/>
      <c r="E356" s="250"/>
      <c r="F356" s="254" t="s">
        <v>837</v>
      </c>
      <c r="G356" s="244" t="s">
        <v>1254</v>
      </c>
      <c r="H356" s="414">
        <v>0</v>
      </c>
      <c r="I356" s="415">
        <v>0</v>
      </c>
      <c r="J356" s="413">
        <f>+K356-(H356+I356)</f>
        <v>1458.04</v>
      </c>
      <c r="K356" s="252">
        <v>1458.04</v>
      </c>
      <c r="L356" s="253">
        <f>+$K356*$L$5</f>
        <v>1749.648</v>
      </c>
    </row>
    <row r="357" spans="2:12" ht="15.75">
      <c r="B357" s="432"/>
      <c r="C357" s="290"/>
      <c r="D357" s="361"/>
      <c r="E357" s="362"/>
      <c r="F357" s="363"/>
      <c r="G357" s="364"/>
      <c r="H357" s="476"/>
      <c r="I357" s="477"/>
      <c r="J357" s="478"/>
      <c r="K357" s="365"/>
      <c r="L357" s="366"/>
    </row>
    <row r="358" spans="2:12" ht="16.5" thickBot="1">
      <c r="B358" s="681" t="s">
        <v>1338</v>
      </c>
      <c r="C358" s="682"/>
      <c r="D358" s="338"/>
      <c r="E358" s="234"/>
      <c r="F358" s="359" t="s">
        <v>1339</v>
      </c>
      <c r="G358" s="367"/>
      <c r="H358" s="461"/>
      <c r="I358" s="462"/>
      <c r="J358" s="463"/>
      <c r="K358" s="368"/>
      <c r="L358" s="369"/>
    </row>
    <row r="359" spans="2:12" ht="15.75">
      <c r="B359" s="432"/>
      <c r="C359" s="326"/>
      <c r="D359" s="340"/>
      <c r="E359" s="265"/>
      <c r="F359" s="360"/>
      <c r="G359" s="370"/>
      <c r="H359" s="464"/>
      <c r="I359" s="465"/>
      <c r="J359" s="466"/>
      <c r="K359" s="371"/>
      <c r="L359" s="372"/>
    </row>
    <row r="360" spans="2:12" ht="15.75">
      <c r="B360" s="239" t="str">
        <f>+B358</f>
        <v>V .</v>
      </c>
      <c r="C360" s="240" t="s">
        <v>894</v>
      </c>
      <c r="D360" s="249"/>
      <c r="E360" s="250"/>
      <c r="F360" s="254" t="s">
        <v>838</v>
      </c>
      <c r="G360" s="244" t="s">
        <v>1254</v>
      </c>
      <c r="H360" s="414">
        <v>0</v>
      </c>
      <c r="I360" s="415">
        <v>0</v>
      </c>
      <c r="J360" s="413">
        <f aca="true" t="shared" si="39" ref="J360:J369">+K360-(H360+I360)</f>
        <v>2011.75</v>
      </c>
      <c r="K360" s="252">
        <v>2011.75</v>
      </c>
      <c r="L360" s="253">
        <f aca="true" t="shared" si="40" ref="L360:L369">+$K360*$L$5</f>
        <v>2414.1</v>
      </c>
    </row>
    <row r="361" spans="2:12" ht="15.75">
      <c r="B361" s="239" t="str">
        <f>+B360</f>
        <v>V .</v>
      </c>
      <c r="C361" s="240" t="s">
        <v>898</v>
      </c>
      <c r="D361" s="249"/>
      <c r="E361" s="250"/>
      <c r="F361" s="254" t="s">
        <v>839</v>
      </c>
      <c r="G361" s="244" t="s">
        <v>1254</v>
      </c>
      <c r="H361" s="414">
        <v>0</v>
      </c>
      <c r="I361" s="415">
        <v>0</v>
      </c>
      <c r="J361" s="413">
        <f t="shared" si="39"/>
        <v>1911.75</v>
      </c>
      <c r="K361" s="252">
        <v>1911.75</v>
      </c>
      <c r="L361" s="253">
        <f t="shared" si="40"/>
        <v>2294.1</v>
      </c>
    </row>
    <row r="362" spans="2:12" ht="15.75">
      <c r="B362" s="239" t="str">
        <f aca="true" t="shared" si="41" ref="B362:B369">+B361</f>
        <v>V .</v>
      </c>
      <c r="C362" s="240" t="s">
        <v>902</v>
      </c>
      <c r="D362" s="249"/>
      <c r="E362" s="250"/>
      <c r="F362" s="254" t="s">
        <v>840</v>
      </c>
      <c r="G362" s="244" t="s">
        <v>1254</v>
      </c>
      <c r="H362" s="414">
        <v>0</v>
      </c>
      <c r="I362" s="415">
        <v>0</v>
      </c>
      <c r="J362" s="413">
        <f t="shared" si="39"/>
        <v>1911.75</v>
      </c>
      <c r="K362" s="252">
        <v>1911.75</v>
      </c>
      <c r="L362" s="253">
        <f t="shared" si="40"/>
        <v>2294.1</v>
      </c>
    </row>
    <row r="363" spans="2:12" ht="15.75">
      <c r="B363" s="239" t="str">
        <f t="shared" si="41"/>
        <v>V .</v>
      </c>
      <c r="C363" s="240" t="s">
        <v>905</v>
      </c>
      <c r="D363" s="249"/>
      <c r="E363" s="250"/>
      <c r="F363" s="254" t="s">
        <v>841</v>
      </c>
      <c r="G363" s="244" t="s">
        <v>1254</v>
      </c>
      <c r="H363" s="414">
        <v>0</v>
      </c>
      <c r="I363" s="415">
        <v>0</v>
      </c>
      <c r="J363" s="413">
        <f t="shared" si="39"/>
        <v>1216.58</v>
      </c>
      <c r="K363" s="252">
        <v>1216.58</v>
      </c>
      <c r="L363" s="253">
        <f t="shared" si="40"/>
        <v>1459.896</v>
      </c>
    </row>
    <row r="364" spans="2:12" ht="15.75">
      <c r="B364" s="239" t="str">
        <f t="shared" si="41"/>
        <v>V .</v>
      </c>
      <c r="C364" s="240" t="s">
        <v>909</v>
      </c>
      <c r="D364" s="249"/>
      <c r="E364" s="250"/>
      <c r="F364" s="254" t="s">
        <v>842</v>
      </c>
      <c r="G364" s="244" t="s">
        <v>1254</v>
      </c>
      <c r="H364" s="414">
        <v>0</v>
      </c>
      <c r="I364" s="415">
        <v>0</v>
      </c>
      <c r="J364" s="413">
        <f t="shared" si="39"/>
        <v>1216.58</v>
      </c>
      <c r="K364" s="252">
        <v>1216.58</v>
      </c>
      <c r="L364" s="253">
        <f t="shared" si="40"/>
        <v>1459.896</v>
      </c>
    </row>
    <row r="365" spans="2:12" ht="15.75">
      <c r="B365" s="239" t="str">
        <f t="shared" si="41"/>
        <v>V .</v>
      </c>
      <c r="C365" s="240" t="s">
        <v>912</v>
      </c>
      <c r="D365" s="249"/>
      <c r="E365" s="250"/>
      <c r="F365" s="254" t="s">
        <v>843</v>
      </c>
      <c r="G365" s="244" t="s">
        <v>1254</v>
      </c>
      <c r="H365" s="414">
        <v>0</v>
      </c>
      <c r="I365" s="415">
        <v>0</v>
      </c>
      <c r="J365" s="413">
        <f t="shared" si="39"/>
        <v>1216.58</v>
      </c>
      <c r="K365" s="252">
        <v>1216.58</v>
      </c>
      <c r="L365" s="253">
        <f t="shared" si="40"/>
        <v>1459.896</v>
      </c>
    </row>
    <row r="366" spans="2:12" ht="15.75">
      <c r="B366" s="239" t="str">
        <f t="shared" si="41"/>
        <v>V .</v>
      </c>
      <c r="C366" s="240" t="s">
        <v>914</v>
      </c>
      <c r="D366" s="249"/>
      <c r="E366" s="250"/>
      <c r="F366" s="254" t="s">
        <v>844</v>
      </c>
      <c r="G366" s="244" t="s">
        <v>1254</v>
      </c>
      <c r="H366" s="414">
        <v>0</v>
      </c>
      <c r="I366" s="415">
        <v>0</v>
      </c>
      <c r="J366" s="413">
        <f t="shared" si="39"/>
        <v>1216.58</v>
      </c>
      <c r="K366" s="252">
        <v>1216.58</v>
      </c>
      <c r="L366" s="253">
        <f t="shared" si="40"/>
        <v>1459.896</v>
      </c>
    </row>
    <row r="367" spans="2:12" ht="15.75">
      <c r="B367" s="239" t="str">
        <f t="shared" si="41"/>
        <v>V .</v>
      </c>
      <c r="C367" s="240" t="s">
        <v>916</v>
      </c>
      <c r="D367" s="249"/>
      <c r="E367" s="250"/>
      <c r="F367" s="254" t="s">
        <v>845</v>
      </c>
      <c r="G367" s="244" t="s">
        <v>1254</v>
      </c>
      <c r="H367" s="414">
        <v>0</v>
      </c>
      <c r="I367" s="415">
        <v>0</v>
      </c>
      <c r="J367" s="413">
        <f t="shared" si="39"/>
        <v>1216.58</v>
      </c>
      <c r="K367" s="252">
        <v>1216.58</v>
      </c>
      <c r="L367" s="253">
        <f t="shared" si="40"/>
        <v>1459.896</v>
      </c>
    </row>
    <row r="368" spans="2:12" ht="15.75">
      <c r="B368" s="239" t="str">
        <f t="shared" si="41"/>
        <v>V .</v>
      </c>
      <c r="C368" s="240" t="s">
        <v>918</v>
      </c>
      <c r="D368" s="249"/>
      <c r="E368" s="250"/>
      <c r="F368" s="254" t="s">
        <v>846</v>
      </c>
      <c r="G368" s="244" t="s">
        <v>1254</v>
      </c>
      <c r="H368" s="414">
        <v>0</v>
      </c>
      <c r="I368" s="415">
        <v>0</v>
      </c>
      <c r="J368" s="413">
        <f t="shared" si="39"/>
        <v>1216.58</v>
      </c>
      <c r="K368" s="252">
        <v>1216.58</v>
      </c>
      <c r="L368" s="253">
        <f t="shared" si="40"/>
        <v>1459.896</v>
      </c>
    </row>
    <row r="369" spans="2:12" ht="15.75">
      <c r="B369" s="239" t="str">
        <f t="shared" si="41"/>
        <v>V .</v>
      </c>
      <c r="C369" s="240" t="s">
        <v>920</v>
      </c>
      <c r="D369" s="249"/>
      <c r="E369" s="250"/>
      <c r="F369" s="254" t="s">
        <v>847</v>
      </c>
      <c r="G369" s="244" t="s">
        <v>1254</v>
      </c>
      <c r="H369" s="414">
        <v>0</v>
      </c>
      <c r="I369" s="415">
        <v>0</v>
      </c>
      <c r="J369" s="413">
        <f t="shared" si="39"/>
        <v>586.56</v>
      </c>
      <c r="K369" s="252">
        <v>586.56</v>
      </c>
      <c r="L369" s="253">
        <f t="shared" si="40"/>
        <v>703.872</v>
      </c>
    </row>
    <row r="370" spans="2:12" ht="16.5" thickBot="1">
      <c r="B370" s="373"/>
      <c r="C370" s="374"/>
      <c r="D370" s="375"/>
      <c r="E370" s="376"/>
      <c r="F370" s="377"/>
      <c r="G370" s="378"/>
      <c r="H370" s="479"/>
      <c r="I370" s="480"/>
      <c r="J370" s="481"/>
      <c r="K370" s="379"/>
      <c r="L370" s="380"/>
    </row>
    <row r="371" spans="2:12" ht="16.5" thickTop="1">
      <c r="B371" s="482"/>
      <c r="C371" s="482"/>
      <c r="D371" s="192"/>
      <c r="E371" s="192"/>
      <c r="F371" s="45"/>
      <c r="G371" s="192"/>
      <c r="H371" s="192"/>
      <c r="I371" s="192"/>
      <c r="J371" s="192"/>
      <c r="K371" s="382"/>
      <c r="L371" s="382"/>
    </row>
    <row r="372" spans="2:12" ht="16.5" thickBot="1">
      <c r="B372" s="198"/>
      <c r="C372" s="383"/>
      <c r="D372" s="383"/>
      <c r="E372" s="162"/>
      <c r="F372" s="2"/>
      <c r="G372" s="384"/>
      <c r="H372" s="384"/>
      <c r="I372" s="384"/>
      <c r="J372" s="384"/>
      <c r="K372" s="385"/>
      <c r="L372" s="385"/>
    </row>
    <row r="373" spans="2:16" ht="15.75">
      <c r="B373" s="689" t="s">
        <v>1342</v>
      </c>
      <c r="C373" s="692" t="s">
        <v>1343</v>
      </c>
      <c r="D373" s="693"/>
      <c r="E373" s="698" t="s">
        <v>1344</v>
      </c>
      <c r="F373" s="699"/>
      <c r="G373" s="702" t="s">
        <v>1345</v>
      </c>
      <c r="H373" s="702"/>
      <c r="I373" s="702"/>
      <c r="J373" s="702"/>
      <c r="K373" s="702"/>
      <c r="L373" s="702"/>
      <c r="M373" s="702"/>
      <c r="N373" s="702"/>
      <c r="O373" s="702"/>
      <c r="P373" s="703"/>
    </row>
    <row r="374" spans="2:16" ht="15.75">
      <c r="B374" s="690"/>
      <c r="C374" s="694"/>
      <c r="D374" s="695"/>
      <c r="E374" s="700"/>
      <c r="F374" s="701"/>
      <c r="G374" s="701" t="s">
        <v>1346</v>
      </c>
      <c r="H374" s="701"/>
      <c r="I374" s="701" t="s">
        <v>1347</v>
      </c>
      <c r="J374" s="701"/>
      <c r="K374" s="701" t="s">
        <v>1348</v>
      </c>
      <c r="L374" s="701"/>
      <c r="M374" s="704" t="s">
        <v>1349</v>
      </c>
      <c r="N374" s="704"/>
      <c r="O374" s="704" t="s">
        <v>1350</v>
      </c>
      <c r="P374" s="705"/>
    </row>
    <row r="375" spans="2:16" ht="16.5" thickBot="1">
      <c r="B375" s="691"/>
      <c r="C375" s="696"/>
      <c r="D375" s="697"/>
      <c r="E375" s="483" t="s">
        <v>848</v>
      </c>
      <c r="F375" s="484" t="s">
        <v>849</v>
      </c>
      <c r="G375" s="484" t="s">
        <v>848</v>
      </c>
      <c r="H375" s="484" t="s">
        <v>849</v>
      </c>
      <c r="I375" s="484" t="s">
        <v>848</v>
      </c>
      <c r="J375" s="484" t="s">
        <v>849</v>
      </c>
      <c r="K375" s="484" t="s">
        <v>848</v>
      </c>
      <c r="L375" s="484" t="s">
        <v>849</v>
      </c>
      <c r="M375" s="137" t="s">
        <v>848</v>
      </c>
      <c r="N375" s="137" t="s">
        <v>849</v>
      </c>
      <c r="O375" s="137" t="s">
        <v>848</v>
      </c>
      <c r="P375" s="138" t="s">
        <v>849</v>
      </c>
    </row>
    <row r="376" spans="2:16" ht="16.5" thickTop="1">
      <c r="B376" s="485">
        <v>1</v>
      </c>
      <c r="C376" s="706" t="s">
        <v>1351</v>
      </c>
      <c r="D376" s="486" t="s">
        <v>1374</v>
      </c>
      <c r="E376" s="487">
        <v>7143</v>
      </c>
      <c r="F376" s="488"/>
      <c r="G376" s="488">
        <v>5357</v>
      </c>
      <c r="H376" s="488"/>
      <c r="I376" s="488">
        <v>4857</v>
      </c>
      <c r="J376" s="488"/>
      <c r="K376" s="488">
        <v>4357</v>
      </c>
      <c r="L376" s="488"/>
      <c r="M376" s="139">
        <v>3857</v>
      </c>
      <c r="N376" s="139"/>
      <c r="O376" s="139">
        <v>3357</v>
      </c>
      <c r="P376" s="140"/>
    </row>
    <row r="377" spans="2:16" ht="15.75">
      <c r="B377" s="489">
        <v>2</v>
      </c>
      <c r="C377" s="707"/>
      <c r="D377" s="490" t="s">
        <v>850</v>
      </c>
      <c r="E377" s="491">
        <v>5594</v>
      </c>
      <c r="F377" s="492"/>
      <c r="G377" s="492">
        <v>4196</v>
      </c>
      <c r="H377" s="492"/>
      <c r="I377" s="492">
        <v>3748</v>
      </c>
      <c r="J377" s="492"/>
      <c r="K377" s="492">
        <v>3300</v>
      </c>
      <c r="L377" s="492"/>
      <c r="M377" s="141">
        <v>2853</v>
      </c>
      <c r="N377" s="141"/>
      <c r="O377" s="141">
        <v>2405</v>
      </c>
      <c r="P377" s="142"/>
    </row>
    <row r="378" spans="2:16" ht="15.75">
      <c r="B378" s="489">
        <v>3</v>
      </c>
      <c r="C378" s="707"/>
      <c r="D378" s="490" t="s">
        <v>851</v>
      </c>
      <c r="E378" s="491">
        <v>4167</v>
      </c>
      <c r="F378" s="492"/>
      <c r="G378" s="492">
        <v>3125</v>
      </c>
      <c r="H378" s="492"/>
      <c r="I378" s="492">
        <v>2792</v>
      </c>
      <c r="J378" s="492"/>
      <c r="K378" s="492">
        <v>2459</v>
      </c>
      <c r="L378" s="492"/>
      <c r="M378" s="141">
        <v>2125</v>
      </c>
      <c r="N378" s="141"/>
      <c r="O378" s="141">
        <v>1792</v>
      </c>
      <c r="P378" s="142"/>
    </row>
    <row r="379" spans="2:16" ht="15.75">
      <c r="B379" s="489">
        <v>4</v>
      </c>
      <c r="C379" s="707"/>
      <c r="D379" s="490" t="s">
        <v>852</v>
      </c>
      <c r="E379" s="491">
        <v>3273</v>
      </c>
      <c r="F379" s="492"/>
      <c r="G379" s="492">
        <v>2455</v>
      </c>
      <c r="H379" s="492"/>
      <c r="I379" s="492">
        <v>2193</v>
      </c>
      <c r="J379" s="492"/>
      <c r="K379" s="492">
        <v>1931</v>
      </c>
      <c r="L379" s="492"/>
      <c r="M379" s="141">
        <v>1669</v>
      </c>
      <c r="N379" s="141"/>
      <c r="O379" s="141">
        <v>1407</v>
      </c>
      <c r="P379" s="142"/>
    </row>
    <row r="380" spans="2:16" ht="15.75">
      <c r="B380" s="489">
        <v>5</v>
      </c>
      <c r="C380" s="707" t="s">
        <v>1352</v>
      </c>
      <c r="D380" s="490" t="s">
        <v>1374</v>
      </c>
      <c r="E380" s="491">
        <v>4758</v>
      </c>
      <c r="F380" s="492"/>
      <c r="G380" s="492">
        <v>3569</v>
      </c>
      <c r="H380" s="492"/>
      <c r="I380" s="492">
        <v>3188</v>
      </c>
      <c r="J380" s="492"/>
      <c r="K380" s="492">
        <v>2807</v>
      </c>
      <c r="L380" s="492"/>
      <c r="M380" s="141">
        <v>2427</v>
      </c>
      <c r="N380" s="141"/>
      <c r="O380" s="141">
        <v>2046</v>
      </c>
      <c r="P380" s="142"/>
    </row>
    <row r="381" spans="2:16" ht="15.75">
      <c r="B381" s="489">
        <v>6</v>
      </c>
      <c r="C381" s="707"/>
      <c r="D381" s="490" t="s">
        <v>850</v>
      </c>
      <c r="E381" s="491">
        <v>4186</v>
      </c>
      <c r="F381" s="492"/>
      <c r="G381" s="492">
        <v>3140</v>
      </c>
      <c r="H381" s="492"/>
      <c r="I381" s="492">
        <v>2805</v>
      </c>
      <c r="J381" s="492"/>
      <c r="K381" s="492">
        <v>2470</v>
      </c>
      <c r="L381" s="492"/>
      <c r="M381" s="141">
        <v>2135</v>
      </c>
      <c r="N381" s="141"/>
      <c r="O381" s="141">
        <v>1800</v>
      </c>
      <c r="P381" s="142"/>
    </row>
    <row r="382" spans="2:16" ht="15.75">
      <c r="B382" s="489">
        <v>7</v>
      </c>
      <c r="C382" s="707"/>
      <c r="D382" s="490" t="s">
        <v>851</v>
      </c>
      <c r="E382" s="491">
        <v>3257</v>
      </c>
      <c r="F382" s="492"/>
      <c r="G382" s="492">
        <v>2443</v>
      </c>
      <c r="H382" s="492"/>
      <c r="I382" s="492">
        <v>2182</v>
      </c>
      <c r="J382" s="492"/>
      <c r="K382" s="492">
        <v>1922</v>
      </c>
      <c r="L382" s="492"/>
      <c r="M382" s="141">
        <v>1661</v>
      </c>
      <c r="N382" s="141"/>
      <c r="O382" s="141">
        <v>1401</v>
      </c>
      <c r="P382" s="142"/>
    </row>
    <row r="383" spans="2:16" ht="15.75">
      <c r="B383" s="489">
        <v>8</v>
      </c>
      <c r="C383" s="707"/>
      <c r="D383" s="490" t="s">
        <v>852</v>
      </c>
      <c r="E383" s="491">
        <v>2675</v>
      </c>
      <c r="F383" s="492"/>
      <c r="G383" s="492">
        <v>2006</v>
      </c>
      <c r="H383" s="492"/>
      <c r="I383" s="492">
        <v>1792</v>
      </c>
      <c r="J383" s="492"/>
      <c r="K383" s="492">
        <v>1578</v>
      </c>
      <c r="L383" s="492"/>
      <c r="M383" s="141">
        <v>1364</v>
      </c>
      <c r="N383" s="141"/>
      <c r="O383" s="141">
        <v>1150</v>
      </c>
      <c r="P383" s="142"/>
    </row>
    <row r="384" spans="2:16" ht="15.75">
      <c r="B384" s="489">
        <v>9</v>
      </c>
      <c r="C384" s="707" t="s">
        <v>1353</v>
      </c>
      <c r="D384" s="490" t="s">
        <v>853</v>
      </c>
      <c r="E384" s="491">
        <v>19380</v>
      </c>
      <c r="F384" s="492"/>
      <c r="G384" s="492">
        <v>14535</v>
      </c>
      <c r="H384" s="492"/>
      <c r="I384" s="492">
        <v>12985</v>
      </c>
      <c r="J384" s="492"/>
      <c r="K384" s="492">
        <v>11434</v>
      </c>
      <c r="L384" s="492"/>
      <c r="M384" s="141">
        <v>9884</v>
      </c>
      <c r="N384" s="141"/>
      <c r="O384" s="141">
        <v>8333</v>
      </c>
      <c r="P384" s="142"/>
    </row>
    <row r="385" spans="2:16" ht="15.75">
      <c r="B385" s="489">
        <v>10</v>
      </c>
      <c r="C385" s="707"/>
      <c r="D385" s="490" t="s">
        <v>854</v>
      </c>
      <c r="E385" s="491">
        <v>27687</v>
      </c>
      <c r="F385" s="492"/>
      <c r="G385" s="492">
        <v>20765</v>
      </c>
      <c r="H385" s="492"/>
      <c r="I385" s="492">
        <v>18550</v>
      </c>
      <c r="J385" s="492"/>
      <c r="K385" s="492">
        <v>16335</v>
      </c>
      <c r="L385" s="492"/>
      <c r="M385" s="141">
        <v>14120</v>
      </c>
      <c r="N385" s="141"/>
      <c r="O385" s="141">
        <v>11905</v>
      </c>
      <c r="P385" s="142"/>
    </row>
    <row r="386" spans="2:16" ht="15.75">
      <c r="B386" s="489">
        <v>11</v>
      </c>
      <c r="C386" s="707"/>
      <c r="D386" s="490" t="s">
        <v>855</v>
      </c>
      <c r="E386" s="491">
        <v>35992</v>
      </c>
      <c r="F386" s="492"/>
      <c r="G386" s="492">
        <v>26994</v>
      </c>
      <c r="H386" s="492"/>
      <c r="I386" s="492">
        <v>24115</v>
      </c>
      <c r="J386" s="492"/>
      <c r="K386" s="492">
        <v>21235</v>
      </c>
      <c r="L386" s="492"/>
      <c r="M386" s="141">
        <v>18356</v>
      </c>
      <c r="N386" s="141"/>
      <c r="O386" s="141">
        <v>15477</v>
      </c>
      <c r="P386" s="142"/>
    </row>
    <row r="387" spans="2:16" ht="15.75">
      <c r="B387" s="489">
        <v>12</v>
      </c>
      <c r="C387" s="707"/>
      <c r="D387" s="490" t="s">
        <v>856</v>
      </c>
      <c r="E387" s="491">
        <v>13843</v>
      </c>
      <c r="F387" s="492"/>
      <c r="G387" s="492">
        <v>10382</v>
      </c>
      <c r="H387" s="492"/>
      <c r="I387" s="492">
        <v>9275</v>
      </c>
      <c r="J387" s="492"/>
      <c r="K387" s="492">
        <v>8167</v>
      </c>
      <c r="L387" s="492"/>
      <c r="M387" s="141">
        <v>7060</v>
      </c>
      <c r="N387" s="141"/>
      <c r="O387" s="141">
        <v>5952</v>
      </c>
      <c r="P387" s="142"/>
    </row>
    <row r="388" spans="2:16" ht="15.75">
      <c r="B388" s="489">
        <v>13</v>
      </c>
      <c r="C388" s="707"/>
      <c r="D388" s="490" t="s">
        <v>857</v>
      </c>
      <c r="E388" s="491">
        <v>11075</v>
      </c>
      <c r="F388" s="492"/>
      <c r="G388" s="492">
        <v>8306</v>
      </c>
      <c r="H388" s="492"/>
      <c r="I388" s="492">
        <v>7420</v>
      </c>
      <c r="J388" s="492"/>
      <c r="K388" s="492">
        <v>6534</v>
      </c>
      <c r="L388" s="492"/>
      <c r="M388" s="141">
        <v>5648</v>
      </c>
      <c r="N388" s="141"/>
      <c r="O388" s="141">
        <v>4762</v>
      </c>
      <c r="P388" s="142"/>
    </row>
    <row r="389" spans="2:16" ht="15.75">
      <c r="B389" s="489">
        <v>14</v>
      </c>
      <c r="C389" s="707"/>
      <c r="D389" s="490" t="s">
        <v>858</v>
      </c>
      <c r="E389" s="491">
        <v>6645</v>
      </c>
      <c r="F389" s="492"/>
      <c r="G389" s="492">
        <v>4984</v>
      </c>
      <c r="H389" s="492"/>
      <c r="I389" s="492">
        <v>4452</v>
      </c>
      <c r="J389" s="492"/>
      <c r="K389" s="492">
        <v>3921</v>
      </c>
      <c r="L389" s="492"/>
      <c r="M389" s="141">
        <v>3389</v>
      </c>
      <c r="N389" s="141"/>
      <c r="O389" s="141">
        <v>2857</v>
      </c>
      <c r="P389" s="142"/>
    </row>
    <row r="390" spans="2:16" ht="15.75">
      <c r="B390" s="489">
        <v>15</v>
      </c>
      <c r="C390" s="707" t="s">
        <v>1354</v>
      </c>
      <c r="D390" s="490" t="s">
        <v>859</v>
      </c>
      <c r="E390" s="491">
        <v>8860</v>
      </c>
      <c r="F390" s="492"/>
      <c r="G390" s="492">
        <v>6645</v>
      </c>
      <c r="H390" s="492"/>
      <c r="I390" s="492">
        <v>5936</v>
      </c>
      <c r="J390" s="492"/>
      <c r="K390" s="492">
        <v>5227</v>
      </c>
      <c r="L390" s="492"/>
      <c r="M390" s="141">
        <v>4519</v>
      </c>
      <c r="N390" s="141"/>
      <c r="O390" s="141">
        <v>3810</v>
      </c>
      <c r="P390" s="142"/>
    </row>
    <row r="391" spans="2:16" ht="15.75">
      <c r="B391" s="489">
        <v>16</v>
      </c>
      <c r="C391" s="707"/>
      <c r="D391" s="490" t="s">
        <v>851</v>
      </c>
      <c r="E391" s="491">
        <v>7197</v>
      </c>
      <c r="F391" s="492"/>
      <c r="G391" s="492">
        <v>5398</v>
      </c>
      <c r="H391" s="492"/>
      <c r="I391" s="492">
        <v>4822</v>
      </c>
      <c r="J391" s="492"/>
      <c r="K391" s="492">
        <v>4246</v>
      </c>
      <c r="L391" s="492"/>
      <c r="M391" s="141">
        <v>3670</v>
      </c>
      <c r="N391" s="141"/>
      <c r="O391" s="141">
        <v>3095</v>
      </c>
      <c r="P391" s="142"/>
    </row>
    <row r="392" spans="2:16" ht="15.75">
      <c r="B392" s="489">
        <v>17</v>
      </c>
      <c r="C392" s="707"/>
      <c r="D392" s="490" t="s">
        <v>852</v>
      </c>
      <c r="E392" s="491">
        <v>5538</v>
      </c>
      <c r="F392" s="492"/>
      <c r="G392" s="492">
        <v>4154</v>
      </c>
      <c r="H392" s="492"/>
      <c r="I392" s="492">
        <v>3710</v>
      </c>
      <c r="J392" s="492"/>
      <c r="K392" s="492">
        <v>3267</v>
      </c>
      <c r="L392" s="492"/>
      <c r="M392" s="141">
        <v>2824</v>
      </c>
      <c r="N392" s="141"/>
      <c r="O392" s="141">
        <v>2381</v>
      </c>
      <c r="P392" s="142"/>
    </row>
    <row r="393" spans="2:16" ht="15.75">
      <c r="B393" s="489">
        <v>18</v>
      </c>
      <c r="C393" s="708" t="s">
        <v>1355</v>
      </c>
      <c r="D393" s="490" t="s">
        <v>859</v>
      </c>
      <c r="E393" s="491">
        <v>22149</v>
      </c>
      <c r="F393" s="492"/>
      <c r="G393" s="492">
        <v>16612</v>
      </c>
      <c r="H393" s="492"/>
      <c r="I393" s="492">
        <v>14840</v>
      </c>
      <c r="J393" s="492"/>
      <c r="K393" s="492">
        <v>13068</v>
      </c>
      <c r="L393" s="492"/>
      <c r="M393" s="141">
        <v>11296</v>
      </c>
      <c r="N393" s="141"/>
      <c r="O393" s="141">
        <v>9524</v>
      </c>
      <c r="P393" s="142"/>
    </row>
    <row r="394" spans="2:16" ht="15.75">
      <c r="B394" s="489">
        <v>19</v>
      </c>
      <c r="C394" s="708"/>
      <c r="D394" s="490" t="s">
        <v>851</v>
      </c>
      <c r="E394" s="491">
        <v>11075</v>
      </c>
      <c r="F394" s="492"/>
      <c r="G394" s="492">
        <v>8306</v>
      </c>
      <c r="H394" s="492"/>
      <c r="I394" s="492">
        <v>7420</v>
      </c>
      <c r="J394" s="492"/>
      <c r="K394" s="492">
        <v>6534</v>
      </c>
      <c r="L394" s="492"/>
      <c r="M394" s="141">
        <v>5648</v>
      </c>
      <c r="N394" s="141"/>
      <c r="O394" s="141">
        <v>4762</v>
      </c>
      <c r="P394" s="142"/>
    </row>
    <row r="395" spans="2:16" ht="15.75">
      <c r="B395" s="489">
        <v>20</v>
      </c>
      <c r="C395" s="708"/>
      <c r="D395" s="490" t="s">
        <v>852</v>
      </c>
      <c r="E395" s="491">
        <v>7753</v>
      </c>
      <c r="F395" s="492"/>
      <c r="G395" s="492">
        <v>5815</v>
      </c>
      <c r="H395" s="492"/>
      <c r="I395" s="492">
        <v>5195</v>
      </c>
      <c r="J395" s="492"/>
      <c r="K395" s="492">
        <v>4574</v>
      </c>
      <c r="L395" s="492"/>
      <c r="M395" s="141">
        <v>3954</v>
      </c>
      <c r="N395" s="141"/>
      <c r="O395" s="141">
        <v>3334</v>
      </c>
      <c r="P395" s="142"/>
    </row>
    <row r="396" spans="2:16" ht="15.75">
      <c r="B396" s="489">
        <v>21</v>
      </c>
      <c r="C396" s="707" t="s">
        <v>1356</v>
      </c>
      <c r="D396" s="490" t="s">
        <v>859</v>
      </c>
      <c r="E396" s="491">
        <v>19270</v>
      </c>
      <c r="F396" s="492"/>
      <c r="G396" s="492">
        <v>14453</v>
      </c>
      <c r="H396" s="492"/>
      <c r="I396" s="492">
        <v>12911</v>
      </c>
      <c r="J396" s="492"/>
      <c r="K396" s="492">
        <v>11369</v>
      </c>
      <c r="L396" s="492"/>
      <c r="M396" s="141">
        <v>9828</v>
      </c>
      <c r="N396" s="141"/>
      <c r="O396" s="141">
        <v>8286</v>
      </c>
      <c r="P396" s="142"/>
    </row>
    <row r="397" spans="2:16" ht="15.75">
      <c r="B397" s="489">
        <v>22</v>
      </c>
      <c r="C397" s="707"/>
      <c r="D397" s="490" t="s">
        <v>851</v>
      </c>
      <c r="E397" s="491">
        <v>9635</v>
      </c>
      <c r="F397" s="492"/>
      <c r="G397" s="492">
        <v>7226</v>
      </c>
      <c r="H397" s="492"/>
      <c r="I397" s="492">
        <v>6455</v>
      </c>
      <c r="J397" s="492"/>
      <c r="K397" s="492">
        <v>5685</v>
      </c>
      <c r="L397" s="492"/>
      <c r="M397" s="141">
        <v>4914</v>
      </c>
      <c r="N397" s="141"/>
      <c r="O397" s="141">
        <v>4143</v>
      </c>
      <c r="P397" s="142"/>
    </row>
    <row r="398" spans="2:16" ht="15.75">
      <c r="B398" s="489">
        <v>23</v>
      </c>
      <c r="C398" s="707"/>
      <c r="D398" s="490" t="s">
        <v>852</v>
      </c>
      <c r="E398" s="491">
        <v>7419</v>
      </c>
      <c r="F398" s="492"/>
      <c r="G398" s="492">
        <v>5564</v>
      </c>
      <c r="H398" s="492"/>
      <c r="I398" s="492">
        <v>4971</v>
      </c>
      <c r="J398" s="492"/>
      <c r="K398" s="492">
        <v>4377</v>
      </c>
      <c r="L398" s="492"/>
      <c r="M398" s="141">
        <v>3784</v>
      </c>
      <c r="N398" s="141"/>
      <c r="O398" s="141">
        <v>3190</v>
      </c>
      <c r="P398" s="142"/>
    </row>
    <row r="399" spans="2:16" ht="15.75">
      <c r="B399" s="489">
        <v>24</v>
      </c>
      <c r="C399" s="707" t="s">
        <v>1357</v>
      </c>
      <c r="D399" s="490" t="s">
        <v>860</v>
      </c>
      <c r="E399" s="491">
        <v>3437</v>
      </c>
      <c r="F399" s="492"/>
      <c r="G399" s="492">
        <v>2578</v>
      </c>
      <c r="H399" s="492"/>
      <c r="I399" s="492">
        <v>2303</v>
      </c>
      <c r="J399" s="492"/>
      <c r="K399" s="492">
        <v>2028</v>
      </c>
      <c r="L399" s="492"/>
      <c r="M399" s="141">
        <v>1753</v>
      </c>
      <c r="N399" s="141"/>
      <c r="O399" s="141">
        <v>1478</v>
      </c>
      <c r="P399" s="142"/>
    </row>
    <row r="400" spans="2:16" ht="15.75">
      <c r="B400" s="489">
        <v>25</v>
      </c>
      <c r="C400" s="707"/>
      <c r="D400" s="490" t="s">
        <v>861</v>
      </c>
      <c r="E400" s="491">
        <v>4201</v>
      </c>
      <c r="F400" s="492"/>
      <c r="G400" s="492">
        <v>3151</v>
      </c>
      <c r="H400" s="492"/>
      <c r="I400" s="492">
        <v>2815</v>
      </c>
      <c r="J400" s="492"/>
      <c r="K400" s="492">
        <v>2479</v>
      </c>
      <c r="L400" s="492"/>
      <c r="M400" s="141">
        <v>2143</v>
      </c>
      <c r="N400" s="141"/>
      <c r="O400" s="141">
        <v>1806</v>
      </c>
      <c r="P400" s="142"/>
    </row>
    <row r="401" spans="2:16" ht="15.75">
      <c r="B401" s="489">
        <v>26</v>
      </c>
      <c r="C401" s="707" t="s">
        <v>1358</v>
      </c>
      <c r="D401" s="490" t="s">
        <v>860</v>
      </c>
      <c r="E401" s="491">
        <v>2713</v>
      </c>
      <c r="F401" s="492"/>
      <c r="G401" s="492">
        <v>2035</v>
      </c>
      <c r="H401" s="492"/>
      <c r="I401" s="492">
        <v>1818</v>
      </c>
      <c r="J401" s="492"/>
      <c r="K401" s="492">
        <v>1601</v>
      </c>
      <c r="L401" s="492"/>
      <c r="M401" s="141">
        <v>1384</v>
      </c>
      <c r="N401" s="141"/>
      <c r="O401" s="141">
        <v>1167</v>
      </c>
      <c r="P401" s="142"/>
    </row>
    <row r="402" spans="2:16" ht="15.75">
      <c r="B402" s="489">
        <v>27</v>
      </c>
      <c r="C402" s="707"/>
      <c r="D402" s="490" t="s">
        <v>861</v>
      </c>
      <c r="E402" s="491">
        <v>2972</v>
      </c>
      <c r="F402" s="492"/>
      <c r="G402" s="492">
        <v>2229</v>
      </c>
      <c r="H402" s="492"/>
      <c r="I402" s="492">
        <v>1991</v>
      </c>
      <c r="J402" s="492"/>
      <c r="K402" s="492">
        <v>1753</v>
      </c>
      <c r="L402" s="492"/>
      <c r="M402" s="141">
        <v>1516</v>
      </c>
      <c r="N402" s="141"/>
      <c r="O402" s="141">
        <v>1278</v>
      </c>
      <c r="P402" s="142"/>
    </row>
    <row r="403" spans="2:16" ht="15.75">
      <c r="B403" s="489">
        <v>28</v>
      </c>
      <c r="C403" s="707" t="s">
        <v>1359</v>
      </c>
      <c r="D403" s="490" t="s">
        <v>860</v>
      </c>
      <c r="E403" s="491">
        <v>2990</v>
      </c>
      <c r="F403" s="492"/>
      <c r="G403" s="492">
        <v>2243</v>
      </c>
      <c r="H403" s="492"/>
      <c r="I403" s="492">
        <v>2003</v>
      </c>
      <c r="J403" s="492"/>
      <c r="K403" s="492">
        <v>1764</v>
      </c>
      <c r="L403" s="492"/>
      <c r="M403" s="141">
        <v>1525</v>
      </c>
      <c r="N403" s="141"/>
      <c r="O403" s="141">
        <v>1286</v>
      </c>
      <c r="P403" s="142"/>
    </row>
    <row r="404" spans="2:16" ht="15.75">
      <c r="B404" s="489">
        <v>29</v>
      </c>
      <c r="C404" s="707"/>
      <c r="D404" s="490" t="s">
        <v>861</v>
      </c>
      <c r="E404" s="491">
        <v>4210</v>
      </c>
      <c r="F404" s="492"/>
      <c r="G404" s="492">
        <v>3158</v>
      </c>
      <c r="H404" s="492"/>
      <c r="I404" s="492">
        <v>2821</v>
      </c>
      <c r="J404" s="492"/>
      <c r="K404" s="492">
        <v>2484</v>
      </c>
      <c r="L404" s="492"/>
      <c r="M404" s="141">
        <v>2147</v>
      </c>
      <c r="N404" s="141"/>
      <c r="O404" s="141">
        <v>1810</v>
      </c>
      <c r="P404" s="142"/>
    </row>
    <row r="405" spans="2:16" ht="15.75">
      <c r="B405" s="493">
        <v>30</v>
      </c>
      <c r="C405" s="711" t="s">
        <v>1360</v>
      </c>
      <c r="D405" s="712"/>
      <c r="E405" s="494">
        <v>3778</v>
      </c>
      <c r="F405" s="495">
        <v>2607</v>
      </c>
      <c r="G405" s="495">
        <v>2758</v>
      </c>
      <c r="H405" s="495">
        <v>1904</v>
      </c>
      <c r="I405" s="495">
        <v>2525</v>
      </c>
      <c r="J405" s="495">
        <v>1743</v>
      </c>
      <c r="K405" s="495">
        <v>2268</v>
      </c>
      <c r="L405" s="495">
        <v>1565</v>
      </c>
      <c r="M405" s="143">
        <v>2010</v>
      </c>
      <c r="N405" s="143">
        <v>1387</v>
      </c>
      <c r="O405" s="143">
        <v>1754</v>
      </c>
      <c r="P405" s="144">
        <v>1210</v>
      </c>
    </row>
    <row r="406" spans="2:16" ht="15.75">
      <c r="B406" s="489">
        <v>31</v>
      </c>
      <c r="C406" s="709" t="s">
        <v>1361</v>
      </c>
      <c r="D406" s="710"/>
      <c r="E406" s="491">
        <v>2868</v>
      </c>
      <c r="F406" s="492">
        <v>1979</v>
      </c>
      <c r="G406" s="492">
        <v>1917</v>
      </c>
      <c r="H406" s="492">
        <v>1323</v>
      </c>
      <c r="I406" s="492">
        <v>1658</v>
      </c>
      <c r="J406" s="492">
        <v>1145</v>
      </c>
      <c r="K406" s="492">
        <v>1428</v>
      </c>
      <c r="L406" s="492">
        <v>985</v>
      </c>
      <c r="M406" s="141">
        <v>1168</v>
      </c>
      <c r="N406" s="141">
        <v>805</v>
      </c>
      <c r="O406" s="141">
        <v>933</v>
      </c>
      <c r="P406" s="142">
        <v>644</v>
      </c>
    </row>
    <row r="407" spans="2:16" ht="15.75">
      <c r="B407" s="489">
        <v>32</v>
      </c>
      <c r="C407" s="709" t="s">
        <v>1362</v>
      </c>
      <c r="D407" s="710"/>
      <c r="E407" s="491">
        <v>2607</v>
      </c>
      <c r="F407" s="492">
        <v>1434</v>
      </c>
      <c r="G407" s="492">
        <v>1760</v>
      </c>
      <c r="H407" s="492">
        <v>968</v>
      </c>
      <c r="I407" s="492">
        <v>1554</v>
      </c>
      <c r="J407" s="492">
        <v>855</v>
      </c>
      <c r="K407" s="492">
        <v>1320</v>
      </c>
      <c r="L407" s="492">
        <v>726</v>
      </c>
      <c r="M407" s="141">
        <v>1085</v>
      </c>
      <c r="N407" s="141">
        <v>596</v>
      </c>
      <c r="O407" s="141">
        <v>852</v>
      </c>
      <c r="P407" s="142">
        <v>468</v>
      </c>
    </row>
    <row r="408" spans="2:16" ht="15.75">
      <c r="B408" s="489">
        <v>33</v>
      </c>
      <c r="C408" s="709" t="s">
        <v>1363</v>
      </c>
      <c r="D408" s="710"/>
      <c r="E408" s="491"/>
      <c r="F408" s="492"/>
      <c r="G408" s="492">
        <v>1290</v>
      </c>
      <c r="H408" s="492">
        <v>517</v>
      </c>
      <c r="I408" s="492">
        <v>1089</v>
      </c>
      <c r="J408" s="492">
        <v>436</v>
      </c>
      <c r="K408" s="492">
        <v>886</v>
      </c>
      <c r="L408" s="492">
        <v>355</v>
      </c>
      <c r="M408" s="141">
        <v>686</v>
      </c>
      <c r="N408" s="141">
        <v>274</v>
      </c>
      <c r="O408" s="141">
        <v>483</v>
      </c>
      <c r="P408" s="142">
        <v>193</v>
      </c>
    </row>
    <row r="409" spans="2:16" ht="15.75">
      <c r="B409" s="489">
        <v>34</v>
      </c>
      <c r="C409" s="709" t="s">
        <v>1364</v>
      </c>
      <c r="D409" s="710"/>
      <c r="E409" s="491">
        <v>2528</v>
      </c>
      <c r="F409" s="492">
        <v>1745</v>
      </c>
      <c r="G409" s="492">
        <v>1745</v>
      </c>
      <c r="H409" s="492">
        <v>1204</v>
      </c>
      <c r="I409" s="492">
        <v>1581</v>
      </c>
      <c r="J409" s="492">
        <v>1091</v>
      </c>
      <c r="K409" s="492">
        <v>1439</v>
      </c>
      <c r="L409" s="492">
        <v>992</v>
      </c>
      <c r="M409" s="141">
        <v>1276</v>
      </c>
      <c r="N409" s="141">
        <v>880</v>
      </c>
      <c r="O409" s="141">
        <v>1131</v>
      </c>
      <c r="P409" s="142">
        <v>781</v>
      </c>
    </row>
    <row r="410" spans="2:16" ht="15.75">
      <c r="B410" s="489">
        <v>35</v>
      </c>
      <c r="C410" s="709" t="s">
        <v>1365</v>
      </c>
      <c r="D410" s="710"/>
      <c r="E410" s="491">
        <v>1877</v>
      </c>
      <c r="F410" s="492">
        <v>1296</v>
      </c>
      <c r="G410" s="492">
        <v>1260</v>
      </c>
      <c r="H410" s="492">
        <v>868</v>
      </c>
      <c r="I410" s="492">
        <v>1101</v>
      </c>
      <c r="J410" s="492">
        <v>760</v>
      </c>
      <c r="K410" s="492">
        <v>926</v>
      </c>
      <c r="L410" s="492">
        <v>639</v>
      </c>
      <c r="M410" s="141">
        <v>776</v>
      </c>
      <c r="N410" s="141">
        <v>536</v>
      </c>
      <c r="O410" s="141">
        <v>626</v>
      </c>
      <c r="P410" s="142">
        <v>432</v>
      </c>
    </row>
    <row r="411" spans="2:16" ht="15.75">
      <c r="B411" s="489">
        <v>36</v>
      </c>
      <c r="C411" s="709" t="s">
        <v>1366</v>
      </c>
      <c r="D411" s="710"/>
      <c r="E411" s="491">
        <v>1204</v>
      </c>
      <c r="F411" s="492">
        <v>663</v>
      </c>
      <c r="G411" s="492">
        <v>813</v>
      </c>
      <c r="H411" s="492">
        <v>447</v>
      </c>
      <c r="I411" s="492">
        <v>723</v>
      </c>
      <c r="J411" s="492">
        <v>398</v>
      </c>
      <c r="K411" s="492">
        <v>621</v>
      </c>
      <c r="L411" s="492">
        <v>341</v>
      </c>
      <c r="M411" s="141">
        <v>510</v>
      </c>
      <c r="N411" s="141">
        <v>280</v>
      </c>
      <c r="O411" s="141">
        <v>392</v>
      </c>
      <c r="P411" s="142">
        <v>215</v>
      </c>
    </row>
    <row r="412" spans="2:16" ht="15.75">
      <c r="B412" s="489">
        <v>37</v>
      </c>
      <c r="C412" s="709" t="s">
        <v>1367</v>
      </c>
      <c r="D412" s="710"/>
      <c r="E412" s="491"/>
      <c r="F412" s="492"/>
      <c r="G412" s="492">
        <v>695</v>
      </c>
      <c r="H412" s="492">
        <v>278</v>
      </c>
      <c r="I412" s="492">
        <v>618</v>
      </c>
      <c r="J412" s="492">
        <v>248</v>
      </c>
      <c r="K412" s="492">
        <v>526</v>
      </c>
      <c r="L412" s="492">
        <v>210</v>
      </c>
      <c r="M412" s="141">
        <v>424</v>
      </c>
      <c r="N412" s="141">
        <v>170</v>
      </c>
      <c r="O412" s="141">
        <v>348</v>
      </c>
      <c r="P412" s="142">
        <v>139</v>
      </c>
    </row>
    <row r="413" spans="2:16" ht="15.75">
      <c r="B413" s="489">
        <v>38</v>
      </c>
      <c r="C413" s="709" t="s">
        <v>1368</v>
      </c>
      <c r="D413" s="710"/>
      <c r="E413" s="491">
        <v>1882</v>
      </c>
      <c r="F413" s="492">
        <v>1299</v>
      </c>
      <c r="G413" s="492">
        <v>697</v>
      </c>
      <c r="H413" s="492">
        <v>481</v>
      </c>
      <c r="I413" s="492">
        <v>589</v>
      </c>
      <c r="J413" s="492">
        <v>406</v>
      </c>
      <c r="K413" s="492">
        <v>481</v>
      </c>
      <c r="L413" s="492">
        <v>332</v>
      </c>
      <c r="M413" s="141">
        <v>350</v>
      </c>
      <c r="N413" s="141">
        <v>242</v>
      </c>
      <c r="O413" s="141">
        <v>238</v>
      </c>
      <c r="P413" s="142">
        <v>165</v>
      </c>
    </row>
    <row r="414" spans="2:16" ht="15.75">
      <c r="B414" s="489">
        <v>39</v>
      </c>
      <c r="C414" s="709" t="s">
        <v>1369</v>
      </c>
      <c r="D414" s="710"/>
      <c r="E414" s="491"/>
      <c r="F414" s="492"/>
      <c r="G414" s="492">
        <v>807</v>
      </c>
      <c r="H414" s="492">
        <v>558</v>
      </c>
      <c r="I414" s="492">
        <v>719</v>
      </c>
      <c r="J414" s="492">
        <v>497</v>
      </c>
      <c r="K414" s="492">
        <v>610</v>
      </c>
      <c r="L414" s="492">
        <v>421</v>
      </c>
      <c r="M414" s="141">
        <v>524</v>
      </c>
      <c r="N414" s="141">
        <v>361</v>
      </c>
      <c r="O414" s="141">
        <v>416</v>
      </c>
      <c r="P414" s="142">
        <v>287</v>
      </c>
    </row>
    <row r="415" spans="2:16" ht="15.75">
      <c r="B415" s="489">
        <v>40</v>
      </c>
      <c r="C415" s="709" t="s">
        <v>1370</v>
      </c>
      <c r="D415" s="710"/>
      <c r="E415" s="491"/>
      <c r="F415" s="492"/>
      <c r="G415" s="492">
        <v>574</v>
      </c>
      <c r="H415" s="492">
        <v>396</v>
      </c>
      <c r="I415" s="492">
        <v>397</v>
      </c>
      <c r="J415" s="492">
        <v>159</v>
      </c>
      <c r="K415" s="492">
        <v>180</v>
      </c>
      <c r="L415" s="492">
        <v>71</v>
      </c>
      <c r="M415" s="141"/>
      <c r="N415" s="141"/>
      <c r="O415" s="141"/>
      <c r="P415" s="142"/>
    </row>
    <row r="416" spans="2:16" ht="15.75">
      <c r="B416" s="489">
        <v>41</v>
      </c>
      <c r="C416" s="709" t="s">
        <v>1371</v>
      </c>
      <c r="D416" s="710"/>
      <c r="E416" s="491"/>
      <c r="F416" s="492"/>
      <c r="G416" s="492">
        <v>567</v>
      </c>
      <c r="H416" s="492">
        <f>+G416*0.69</f>
        <v>391.22999999999996</v>
      </c>
      <c r="I416" s="492">
        <f>+H415/G415*G416</f>
        <v>391.1707317073171</v>
      </c>
      <c r="J416" s="492">
        <f>+J415*I416/I415</f>
        <v>156.66535602383732</v>
      </c>
      <c r="K416" s="492">
        <f>+K415*I416/I415</f>
        <v>177.35700681943845</v>
      </c>
      <c r="L416" s="492">
        <f>+J416/J415*L415</f>
        <v>69.95748602322296</v>
      </c>
      <c r="M416" s="141"/>
      <c r="N416" s="141"/>
      <c r="O416" s="141"/>
      <c r="P416" s="142"/>
    </row>
    <row r="417" spans="2:16" ht="16.5" thickBot="1">
      <c r="B417" s="496">
        <v>42</v>
      </c>
      <c r="C417" s="713" t="s">
        <v>1372</v>
      </c>
      <c r="D417" s="714"/>
      <c r="E417" s="497">
        <v>2816</v>
      </c>
      <c r="F417" s="498">
        <v>1943</v>
      </c>
      <c r="G417" s="498">
        <v>1790</v>
      </c>
      <c r="H417" s="498">
        <v>1235</v>
      </c>
      <c r="I417" s="498">
        <v>1561</v>
      </c>
      <c r="J417" s="498">
        <v>1077</v>
      </c>
      <c r="K417" s="498">
        <v>1351</v>
      </c>
      <c r="L417" s="498">
        <v>932</v>
      </c>
      <c r="M417" s="145">
        <v>1124</v>
      </c>
      <c r="N417" s="145">
        <v>775</v>
      </c>
      <c r="O417" s="145">
        <v>896</v>
      </c>
      <c r="P417" s="146">
        <v>618</v>
      </c>
    </row>
    <row r="418" spans="2:12" ht="15.75">
      <c r="B418" s="198"/>
      <c r="C418" s="198"/>
      <c r="F418" s="2"/>
      <c r="G418" s="42"/>
      <c r="H418" s="42"/>
      <c r="I418" s="42"/>
      <c r="J418" s="42"/>
      <c r="K418" s="386"/>
      <c r="L418" s="386"/>
    </row>
    <row r="419" spans="2:12" ht="15.75">
      <c r="B419" s="198"/>
      <c r="C419" s="198"/>
      <c r="F419" s="2"/>
      <c r="G419" s="42"/>
      <c r="H419" s="42"/>
      <c r="I419" s="42"/>
      <c r="J419" s="42"/>
      <c r="K419" s="386"/>
      <c r="L419" s="386"/>
    </row>
    <row r="420" spans="2:12" ht="15.75">
      <c r="B420" s="198"/>
      <c r="C420" s="198"/>
      <c r="F420" s="2"/>
      <c r="G420" s="42"/>
      <c r="H420" s="42"/>
      <c r="I420" s="42"/>
      <c r="J420" s="42"/>
      <c r="K420" s="386"/>
      <c r="L420" s="386"/>
    </row>
    <row r="421" spans="2:12" ht="15.75">
      <c r="B421" s="198"/>
      <c r="C421" s="198"/>
      <c r="F421" s="2"/>
      <c r="G421" s="42"/>
      <c r="H421" s="42"/>
      <c r="I421" s="42"/>
      <c r="J421" s="42"/>
      <c r="K421" s="386"/>
      <c r="L421" s="386"/>
    </row>
    <row r="422" spans="2:12" ht="15.75">
      <c r="B422" s="198"/>
      <c r="C422" s="198"/>
      <c r="F422" s="2"/>
      <c r="G422" s="42"/>
      <c r="H422" s="42"/>
      <c r="I422" s="42"/>
      <c r="J422" s="42"/>
      <c r="K422" s="386"/>
      <c r="L422" s="386"/>
    </row>
    <row r="423" spans="2:12" ht="15.75">
      <c r="B423" s="198"/>
      <c r="C423" s="198"/>
      <c r="F423" s="2"/>
      <c r="G423" s="42"/>
      <c r="H423" s="42"/>
      <c r="I423" s="42"/>
      <c r="J423" s="42"/>
      <c r="K423" s="386"/>
      <c r="L423" s="386"/>
    </row>
    <row r="424" spans="2:12" ht="15.75">
      <c r="B424" s="198"/>
      <c r="C424" s="198"/>
      <c r="F424" s="2"/>
      <c r="G424" s="42"/>
      <c r="H424" s="42"/>
      <c r="I424" s="42"/>
      <c r="J424" s="42"/>
      <c r="K424" s="386"/>
      <c r="L424" s="386"/>
    </row>
    <row r="425" spans="2:12" ht="15.75">
      <c r="B425" s="198"/>
      <c r="C425" s="198"/>
      <c r="F425" s="2"/>
      <c r="G425" s="42"/>
      <c r="H425" s="42"/>
      <c r="I425" s="42"/>
      <c r="J425" s="42"/>
      <c r="K425" s="386"/>
      <c r="L425" s="386"/>
    </row>
    <row r="426" spans="2:12" ht="15.75">
      <c r="B426" s="198"/>
      <c r="C426" s="198"/>
      <c r="F426" s="2"/>
      <c r="G426" s="42"/>
      <c r="H426" s="42"/>
      <c r="I426" s="42"/>
      <c r="J426" s="42"/>
      <c r="K426" s="386"/>
      <c r="L426" s="386"/>
    </row>
    <row r="427" spans="2:12" ht="15.75">
      <c r="B427" s="198"/>
      <c r="C427" s="198"/>
      <c r="F427" s="2"/>
      <c r="G427" s="42"/>
      <c r="H427" s="42"/>
      <c r="I427" s="42"/>
      <c r="J427" s="42"/>
      <c r="K427" s="386"/>
      <c r="L427" s="386"/>
    </row>
    <row r="428" spans="2:12" ht="15.75">
      <c r="B428" s="198"/>
      <c r="C428" s="198"/>
      <c r="F428" s="2"/>
      <c r="G428" s="42"/>
      <c r="H428" s="42"/>
      <c r="I428" s="42"/>
      <c r="J428" s="42"/>
      <c r="K428" s="386"/>
      <c r="L428" s="386"/>
    </row>
    <row r="429" spans="2:12" ht="15.75">
      <c r="B429" s="198"/>
      <c r="C429" s="198"/>
      <c r="F429" s="2"/>
      <c r="G429" s="42"/>
      <c r="H429" s="42"/>
      <c r="I429" s="42"/>
      <c r="J429" s="42"/>
      <c r="K429" s="386"/>
      <c r="L429" s="386"/>
    </row>
    <row r="430" spans="2:12" ht="15.75">
      <c r="B430" s="198"/>
      <c r="C430" s="198"/>
      <c r="F430" s="2"/>
      <c r="G430" s="42"/>
      <c r="H430" s="42"/>
      <c r="I430" s="42"/>
      <c r="J430" s="42"/>
      <c r="K430" s="386"/>
      <c r="L430" s="386"/>
    </row>
    <row r="431" spans="2:12" ht="15.75">
      <c r="B431" s="198"/>
      <c r="C431" s="198"/>
      <c r="F431" s="2"/>
      <c r="G431" s="42"/>
      <c r="H431" s="42"/>
      <c r="I431" s="42"/>
      <c r="J431" s="42"/>
      <c r="K431" s="386"/>
      <c r="L431" s="386"/>
    </row>
    <row r="432" spans="2:12" ht="15.75">
      <c r="B432" s="198"/>
      <c r="C432" s="198"/>
      <c r="F432" s="2"/>
      <c r="G432" s="42"/>
      <c r="H432" s="42"/>
      <c r="I432" s="42"/>
      <c r="J432" s="42"/>
      <c r="K432" s="386"/>
      <c r="L432" s="386"/>
    </row>
    <row r="433" spans="2:12" ht="15.75">
      <c r="B433" s="198"/>
      <c r="C433" s="198"/>
      <c r="F433" s="2"/>
      <c r="G433" s="42"/>
      <c r="H433" s="42"/>
      <c r="I433" s="42"/>
      <c r="J433" s="42"/>
      <c r="K433" s="386"/>
      <c r="L433" s="386"/>
    </row>
    <row r="434" spans="2:12" ht="15.75">
      <c r="B434" s="198"/>
      <c r="C434" s="198"/>
      <c r="F434" s="2"/>
      <c r="G434" s="42"/>
      <c r="H434" s="42"/>
      <c r="I434" s="42"/>
      <c r="J434" s="42"/>
      <c r="K434" s="386"/>
      <c r="L434" s="386"/>
    </row>
    <row r="435" spans="2:12" ht="15.75">
      <c r="B435" s="198"/>
      <c r="C435" s="198"/>
      <c r="F435" s="2"/>
      <c r="G435" s="42"/>
      <c r="H435" s="42"/>
      <c r="I435" s="42"/>
      <c r="J435" s="42"/>
      <c r="K435" s="386"/>
      <c r="L435" s="386"/>
    </row>
    <row r="436" spans="2:12" ht="15.75">
      <c r="B436" s="198"/>
      <c r="C436" s="198"/>
      <c r="F436" s="2"/>
      <c r="G436" s="42"/>
      <c r="H436" s="42"/>
      <c r="I436" s="42"/>
      <c r="J436" s="42"/>
      <c r="K436" s="386"/>
      <c r="L436" s="386"/>
    </row>
    <row r="437" spans="2:12" ht="15.75">
      <c r="B437" s="198"/>
      <c r="C437" s="198"/>
      <c r="F437" s="2"/>
      <c r="G437" s="42"/>
      <c r="H437" s="42"/>
      <c r="I437" s="42"/>
      <c r="J437" s="42"/>
      <c r="K437" s="386"/>
      <c r="L437" s="386"/>
    </row>
    <row r="438" spans="2:12" ht="15.75">
      <c r="B438" s="198"/>
      <c r="C438" s="198"/>
      <c r="F438" s="2"/>
      <c r="G438" s="42"/>
      <c r="H438" s="42"/>
      <c r="I438" s="42"/>
      <c r="J438" s="42"/>
      <c r="K438" s="386"/>
      <c r="L438" s="386"/>
    </row>
    <row r="439" spans="2:12" ht="15.75">
      <c r="B439" s="198"/>
      <c r="C439" s="198"/>
      <c r="F439" s="2"/>
      <c r="G439" s="42"/>
      <c r="H439" s="42"/>
      <c r="I439" s="42"/>
      <c r="J439" s="42"/>
      <c r="K439" s="386"/>
      <c r="L439" s="386"/>
    </row>
    <row r="440" spans="2:12" ht="15.75">
      <c r="B440" s="198"/>
      <c r="C440" s="198"/>
      <c r="F440" s="2"/>
      <c r="G440" s="42"/>
      <c r="H440" s="42"/>
      <c r="I440" s="42"/>
      <c r="J440" s="42"/>
      <c r="K440" s="386"/>
      <c r="L440" s="386"/>
    </row>
    <row r="441" spans="2:12" ht="15.75">
      <c r="B441" s="198"/>
      <c r="C441" s="198"/>
      <c r="F441" s="2"/>
      <c r="G441" s="42"/>
      <c r="H441" s="42"/>
      <c r="I441" s="42"/>
      <c r="J441" s="42"/>
      <c r="K441" s="386"/>
      <c r="L441" s="386"/>
    </row>
    <row r="442" spans="2:12" ht="15.75">
      <c r="B442" s="198"/>
      <c r="C442" s="198"/>
      <c r="F442" s="2"/>
      <c r="G442" s="42"/>
      <c r="H442" s="42"/>
      <c r="I442" s="42"/>
      <c r="J442" s="42"/>
      <c r="K442" s="386"/>
      <c r="L442" s="386"/>
    </row>
    <row r="443" spans="2:12" ht="15.75">
      <c r="B443" s="198"/>
      <c r="C443" s="198"/>
      <c r="F443" s="2"/>
      <c r="G443" s="42"/>
      <c r="H443" s="42"/>
      <c r="I443" s="42"/>
      <c r="J443" s="42"/>
      <c r="K443" s="386"/>
      <c r="L443" s="386"/>
    </row>
    <row r="444" spans="2:12" ht="15.75">
      <c r="B444" s="198"/>
      <c r="C444" s="198"/>
      <c r="F444" s="2"/>
      <c r="G444" s="42"/>
      <c r="H444" s="42"/>
      <c r="I444" s="42"/>
      <c r="J444" s="42"/>
      <c r="K444" s="386"/>
      <c r="L444" s="386"/>
    </row>
    <row r="445" spans="2:12" ht="15.75">
      <c r="B445" s="198"/>
      <c r="C445" s="198"/>
      <c r="F445" s="2"/>
      <c r="G445" s="42"/>
      <c r="H445" s="42"/>
      <c r="I445" s="42"/>
      <c r="J445" s="42"/>
      <c r="K445" s="386"/>
      <c r="L445" s="386"/>
    </row>
    <row r="446" spans="2:12" ht="15.75">
      <c r="B446" s="198"/>
      <c r="C446" s="198"/>
      <c r="F446" s="2"/>
      <c r="G446" s="42"/>
      <c r="H446" s="42"/>
      <c r="I446" s="42"/>
      <c r="J446" s="42"/>
      <c r="K446" s="386"/>
      <c r="L446" s="386"/>
    </row>
    <row r="447" spans="2:12" ht="15.75">
      <c r="B447" s="198"/>
      <c r="C447" s="198"/>
      <c r="F447" s="2"/>
      <c r="G447" s="42"/>
      <c r="H447" s="42"/>
      <c r="I447" s="42"/>
      <c r="J447" s="42"/>
      <c r="K447" s="386"/>
      <c r="L447" s="386"/>
    </row>
    <row r="448" spans="2:12" ht="15.75">
      <c r="B448" s="198"/>
      <c r="C448" s="198"/>
      <c r="F448" s="2"/>
      <c r="G448" s="42"/>
      <c r="H448" s="42"/>
      <c r="I448" s="42"/>
      <c r="J448" s="42"/>
      <c r="K448" s="386"/>
      <c r="L448" s="386"/>
    </row>
    <row r="449" spans="2:12" ht="15.75">
      <c r="B449" s="198"/>
      <c r="C449" s="198"/>
      <c r="F449" s="2"/>
      <c r="G449" s="42"/>
      <c r="H449" s="42"/>
      <c r="I449" s="42"/>
      <c r="J449" s="42"/>
      <c r="K449" s="386"/>
      <c r="L449" s="386"/>
    </row>
    <row r="450" spans="2:12" ht="15.75">
      <c r="B450" s="198"/>
      <c r="C450" s="198"/>
      <c r="F450" s="2"/>
      <c r="G450" s="42"/>
      <c r="H450" s="42"/>
      <c r="I450" s="42"/>
      <c r="J450" s="42"/>
      <c r="K450" s="386"/>
      <c r="L450" s="386"/>
    </row>
    <row r="451" spans="2:12" ht="15.75">
      <c r="B451" s="198"/>
      <c r="C451" s="198"/>
      <c r="F451" s="2"/>
      <c r="G451" s="42"/>
      <c r="H451" s="42"/>
      <c r="I451" s="42"/>
      <c r="J451" s="42"/>
      <c r="K451" s="386"/>
      <c r="L451" s="386"/>
    </row>
    <row r="452" spans="2:12" ht="15.75">
      <c r="B452" s="198"/>
      <c r="C452" s="198"/>
      <c r="F452" s="2"/>
      <c r="G452" s="42"/>
      <c r="H452" s="42"/>
      <c r="I452" s="42"/>
      <c r="J452" s="42"/>
      <c r="K452" s="386"/>
      <c r="L452" s="386"/>
    </row>
    <row r="453" spans="2:12" ht="15.75">
      <c r="B453" s="198"/>
      <c r="C453" s="198"/>
      <c r="F453" s="2"/>
      <c r="G453" s="42"/>
      <c r="H453" s="42"/>
      <c r="I453" s="42"/>
      <c r="J453" s="42"/>
      <c r="K453" s="386"/>
      <c r="L453" s="386"/>
    </row>
    <row r="454" spans="2:12" ht="15.75">
      <c r="B454" s="198"/>
      <c r="C454" s="198"/>
      <c r="F454" s="2"/>
      <c r="G454" s="42"/>
      <c r="H454" s="42"/>
      <c r="I454" s="42"/>
      <c r="J454" s="42"/>
      <c r="K454" s="386"/>
      <c r="L454" s="386"/>
    </row>
    <row r="455" spans="2:12" ht="15.75">
      <c r="B455" s="198"/>
      <c r="C455" s="198"/>
      <c r="F455" s="2"/>
      <c r="G455" s="42"/>
      <c r="H455" s="42"/>
      <c r="I455" s="42"/>
      <c r="J455" s="42"/>
      <c r="K455" s="386"/>
      <c r="L455" s="386"/>
    </row>
    <row r="456" spans="2:12" ht="15.75">
      <c r="B456" s="198"/>
      <c r="C456" s="198"/>
      <c r="F456" s="2"/>
      <c r="G456" s="42"/>
      <c r="H456" s="42"/>
      <c r="I456" s="42"/>
      <c r="J456" s="42"/>
      <c r="K456" s="386"/>
      <c r="L456" s="386"/>
    </row>
    <row r="457" spans="2:12" ht="15.75">
      <c r="B457" s="198"/>
      <c r="C457" s="198"/>
      <c r="F457" s="2"/>
      <c r="G457" s="42"/>
      <c r="H457" s="42"/>
      <c r="I457" s="42"/>
      <c r="J457" s="42"/>
      <c r="K457" s="386"/>
      <c r="L457" s="386"/>
    </row>
    <row r="458" spans="2:12" ht="15.75">
      <c r="B458" s="198"/>
      <c r="C458" s="198"/>
      <c r="F458" s="2"/>
      <c r="G458" s="42"/>
      <c r="H458" s="42"/>
      <c r="I458" s="42"/>
      <c r="J458" s="42"/>
      <c r="K458" s="386"/>
      <c r="L458" s="386"/>
    </row>
    <row r="459" spans="2:12" ht="15.75">
      <c r="B459" s="198"/>
      <c r="C459" s="198"/>
      <c r="F459" s="2"/>
      <c r="G459" s="42"/>
      <c r="H459" s="42"/>
      <c r="I459" s="42"/>
      <c r="J459" s="42"/>
      <c r="K459" s="386"/>
      <c r="L459" s="386"/>
    </row>
    <row r="460" spans="2:12" ht="15.75">
      <c r="B460" s="198"/>
      <c r="C460" s="198"/>
      <c r="F460" s="2"/>
      <c r="G460" s="42"/>
      <c r="H460" s="42"/>
      <c r="I460" s="42"/>
      <c r="J460" s="42"/>
      <c r="K460" s="386"/>
      <c r="L460" s="386"/>
    </row>
    <row r="461" spans="2:12" ht="15.75">
      <c r="B461" s="198"/>
      <c r="C461" s="198"/>
      <c r="F461" s="2"/>
      <c r="G461" s="42"/>
      <c r="H461" s="42"/>
      <c r="I461" s="42"/>
      <c r="J461" s="42"/>
      <c r="K461" s="386"/>
      <c r="L461" s="386"/>
    </row>
    <row r="462" spans="2:12" ht="15.75">
      <c r="B462" s="198"/>
      <c r="C462" s="198"/>
      <c r="F462" s="2"/>
      <c r="G462" s="42"/>
      <c r="H462" s="42"/>
      <c r="I462" s="42"/>
      <c r="J462" s="42"/>
      <c r="K462" s="386"/>
      <c r="L462" s="386"/>
    </row>
    <row r="463" spans="2:12" ht="15.75">
      <c r="B463" s="198"/>
      <c r="C463" s="198"/>
      <c r="F463" s="2"/>
      <c r="G463" s="42"/>
      <c r="H463" s="42"/>
      <c r="I463" s="42"/>
      <c r="J463" s="42"/>
      <c r="K463" s="386"/>
      <c r="L463" s="386"/>
    </row>
    <row r="464" spans="2:12" ht="15.75">
      <c r="B464" s="198"/>
      <c r="C464" s="198"/>
      <c r="F464" s="2"/>
      <c r="G464" s="42"/>
      <c r="H464" s="42"/>
      <c r="I464" s="42"/>
      <c r="J464" s="42"/>
      <c r="K464" s="386"/>
      <c r="L464" s="386"/>
    </row>
    <row r="465" spans="2:12" ht="15.75">
      <c r="B465" s="198"/>
      <c r="C465" s="198"/>
      <c r="F465" s="2"/>
      <c r="G465" s="42"/>
      <c r="H465" s="42"/>
      <c r="I465" s="42"/>
      <c r="J465" s="42"/>
      <c r="K465" s="386"/>
      <c r="L465" s="386"/>
    </row>
    <row r="466" spans="2:12" ht="15.75">
      <c r="B466" s="198"/>
      <c r="C466" s="198"/>
      <c r="F466" s="2"/>
      <c r="G466" s="42"/>
      <c r="H466" s="42"/>
      <c r="I466" s="42"/>
      <c r="J466" s="42"/>
      <c r="K466" s="386"/>
      <c r="L466" s="386"/>
    </row>
    <row r="467" spans="2:12" ht="15.75">
      <c r="B467" s="198"/>
      <c r="C467" s="198"/>
      <c r="F467" s="2"/>
      <c r="G467" s="42"/>
      <c r="H467" s="42"/>
      <c r="I467" s="42"/>
      <c r="J467" s="42"/>
      <c r="K467" s="386"/>
      <c r="L467" s="386"/>
    </row>
    <row r="468" spans="2:12" ht="15.75">
      <c r="B468" s="198"/>
      <c r="C468" s="198"/>
      <c r="F468" s="2"/>
      <c r="G468" s="42"/>
      <c r="H468" s="42"/>
      <c r="I468" s="42"/>
      <c r="J468" s="42"/>
      <c r="K468" s="386"/>
      <c r="L468" s="386"/>
    </row>
    <row r="469" spans="2:12" ht="15.75">
      <c r="B469" s="198"/>
      <c r="C469" s="198"/>
      <c r="F469" s="2"/>
      <c r="G469" s="42"/>
      <c r="H469" s="42"/>
      <c r="I469" s="42"/>
      <c r="J469" s="42"/>
      <c r="K469" s="386"/>
      <c r="L469" s="386"/>
    </row>
    <row r="470" spans="2:12" ht="15.75">
      <c r="B470" s="198"/>
      <c r="C470" s="198"/>
      <c r="F470" s="2"/>
      <c r="G470" s="42"/>
      <c r="H470" s="42"/>
      <c r="I470" s="42"/>
      <c r="J470" s="42"/>
      <c r="K470" s="386"/>
      <c r="L470" s="386"/>
    </row>
    <row r="471" spans="2:12" ht="15.75">
      <c r="B471" s="198"/>
      <c r="C471" s="198"/>
      <c r="F471" s="2"/>
      <c r="G471" s="42"/>
      <c r="H471" s="42"/>
      <c r="I471" s="42"/>
      <c r="J471" s="42"/>
      <c r="K471" s="386"/>
      <c r="L471" s="386"/>
    </row>
    <row r="472" spans="2:12" ht="15.75">
      <c r="B472" s="198"/>
      <c r="C472" s="198"/>
      <c r="F472" s="2"/>
      <c r="G472" s="42"/>
      <c r="H472" s="42"/>
      <c r="I472" s="42"/>
      <c r="J472" s="42"/>
      <c r="K472" s="386"/>
      <c r="L472" s="386"/>
    </row>
    <row r="473" spans="2:12" ht="15.75">
      <c r="B473" s="198"/>
      <c r="C473" s="198"/>
      <c r="F473" s="2"/>
      <c r="G473" s="42"/>
      <c r="H473" s="42"/>
      <c r="I473" s="42"/>
      <c r="J473" s="42"/>
      <c r="K473" s="386"/>
      <c r="L473" s="386"/>
    </row>
    <row r="474" spans="2:12" ht="15.75">
      <c r="B474" s="198"/>
      <c r="C474" s="198"/>
      <c r="F474" s="2"/>
      <c r="G474" s="42"/>
      <c r="H474" s="42"/>
      <c r="I474" s="42"/>
      <c r="J474" s="42"/>
      <c r="K474" s="386"/>
      <c r="L474" s="386"/>
    </row>
    <row r="475" spans="2:12" ht="15.75">
      <c r="B475" s="198"/>
      <c r="C475" s="198"/>
      <c r="F475" s="2"/>
      <c r="G475" s="42"/>
      <c r="H475" s="42"/>
      <c r="I475" s="42"/>
      <c r="J475" s="42"/>
      <c r="K475" s="386"/>
      <c r="L475" s="386"/>
    </row>
    <row r="476" spans="2:12" ht="15.75">
      <c r="B476" s="198"/>
      <c r="C476" s="198"/>
      <c r="F476" s="2"/>
      <c r="G476" s="42"/>
      <c r="H476" s="42"/>
      <c r="I476" s="42"/>
      <c r="J476" s="42"/>
      <c r="K476" s="386"/>
      <c r="L476" s="386"/>
    </row>
    <row r="477" spans="2:12" ht="15.75">
      <c r="B477" s="198"/>
      <c r="C477" s="198"/>
      <c r="F477" s="2"/>
      <c r="G477" s="42"/>
      <c r="H477" s="42"/>
      <c r="I477" s="42"/>
      <c r="J477" s="42"/>
      <c r="K477" s="386"/>
      <c r="L477" s="386"/>
    </row>
    <row r="478" spans="2:12" ht="15.75">
      <c r="B478" s="198"/>
      <c r="C478" s="198"/>
      <c r="F478" s="2"/>
      <c r="G478" s="42"/>
      <c r="H478" s="42"/>
      <c r="I478" s="42"/>
      <c r="J478" s="42"/>
      <c r="K478" s="386"/>
      <c r="L478" s="386"/>
    </row>
    <row r="479" spans="2:12" ht="15.75">
      <c r="B479" s="198"/>
      <c r="C479" s="198"/>
      <c r="F479" s="2"/>
      <c r="G479" s="42"/>
      <c r="H479" s="42"/>
      <c r="I479" s="42"/>
      <c r="J479" s="42"/>
      <c r="K479" s="386"/>
      <c r="L479" s="386"/>
    </row>
    <row r="480" spans="2:12" ht="15.75">
      <c r="B480" s="198"/>
      <c r="C480" s="198"/>
      <c r="F480" s="2"/>
      <c r="G480" s="42"/>
      <c r="H480" s="42"/>
      <c r="I480" s="42"/>
      <c r="J480" s="42"/>
      <c r="K480" s="386"/>
      <c r="L480" s="386"/>
    </row>
    <row r="481" spans="6:12" ht="15.75">
      <c r="F481" s="2"/>
      <c r="G481" s="42"/>
      <c r="H481" s="42"/>
      <c r="I481" s="42"/>
      <c r="J481" s="42"/>
      <c r="K481" s="386"/>
      <c r="L481" s="386"/>
    </row>
    <row r="482" spans="6:12" ht="15.75">
      <c r="F482" s="2"/>
      <c r="G482" s="42"/>
      <c r="H482" s="42"/>
      <c r="I482" s="42"/>
      <c r="J482" s="42"/>
      <c r="K482" s="386"/>
      <c r="L482" s="386"/>
    </row>
    <row r="483" spans="6:12" ht="15.75">
      <c r="F483" s="2"/>
      <c r="G483" s="42"/>
      <c r="H483" s="42"/>
      <c r="I483" s="42"/>
      <c r="J483" s="42"/>
      <c r="K483" s="386"/>
      <c r="L483" s="386"/>
    </row>
    <row r="484" spans="6:12" ht="15.75">
      <c r="F484" s="2"/>
      <c r="G484" s="42"/>
      <c r="H484" s="42"/>
      <c r="I484" s="42"/>
      <c r="J484" s="42"/>
      <c r="K484" s="386"/>
      <c r="L484" s="386"/>
    </row>
    <row r="485" spans="6:12" ht="15.75">
      <c r="F485" s="2"/>
      <c r="G485" s="42"/>
      <c r="H485" s="42"/>
      <c r="I485" s="42"/>
      <c r="J485" s="42"/>
      <c r="K485" s="386"/>
      <c r="L485" s="386"/>
    </row>
    <row r="486" spans="6:12" ht="15.75">
      <c r="F486" s="2"/>
      <c r="G486" s="42"/>
      <c r="H486" s="42"/>
      <c r="I486" s="42"/>
      <c r="J486" s="42"/>
      <c r="K486" s="386"/>
      <c r="L486" s="386"/>
    </row>
    <row r="487" spans="6:12" ht="15.75">
      <c r="F487" s="2"/>
      <c r="G487" s="42"/>
      <c r="H487" s="42"/>
      <c r="I487" s="42"/>
      <c r="J487" s="42"/>
      <c r="K487" s="386"/>
      <c r="L487" s="386"/>
    </row>
    <row r="488" spans="6:12" ht="15.75">
      <c r="F488" s="2"/>
      <c r="G488" s="42"/>
      <c r="H488" s="42"/>
      <c r="I488" s="42"/>
      <c r="J488" s="42"/>
      <c r="K488" s="386"/>
      <c r="L488" s="386"/>
    </row>
    <row r="489" spans="6:12" ht="15.75">
      <c r="F489" s="2"/>
      <c r="G489" s="42"/>
      <c r="H489" s="42"/>
      <c r="I489" s="42"/>
      <c r="J489" s="42"/>
      <c r="K489" s="386"/>
      <c r="L489" s="386"/>
    </row>
    <row r="490" spans="6:12" ht="15.75">
      <c r="F490" s="2"/>
      <c r="G490" s="42"/>
      <c r="H490" s="42"/>
      <c r="I490" s="42"/>
      <c r="J490" s="42"/>
      <c r="K490" s="386"/>
      <c r="L490" s="386"/>
    </row>
    <row r="491" spans="6:12" ht="15.75">
      <c r="F491" s="2"/>
      <c r="G491" s="42"/>
      <c r="H491" s="42"/>
      <c r="I491" s="42"/>
      <c r="J491" s="42"/>
      <c r="K491" s="386"/>
      <c r="L491" s="386"/>
    </row>
    <row r="492" spans="6:12" ht="15.75">
      <c r="F492" s="2"/>
      <c r="G492" s="42"/>
      <c r="H492" s="42"/>
      <c r="I492" s="42"/>
      <c r="J492" s="42"/>
      <c r="K492" s="386"/>
      <c r="L492" s="386"/>
    </row>
    <row r="493" spans="6:12" ht="15.75">
      <c r="F493" s="2"/>
      <c r="G493" s="42"/>
      <c r="H493" s="42"/>
      <c r="I493" s="42"/>
      <c r="J493" s="42"/>
      <c r="K493" s="386"/>
      <c r="L493" s="386"/>
    </row>
    <row r="494" spans="6:12" ht="15.75">
      <c r="F494" s="2"/>
      <c r="G494" s="42"/>
      <c r="H494" s="42"/>
      <c r="I494" s="42"/>
      <c r="J494" s="42"/>
      <c r="K494" s="386"/>
      <c r="L494" s="386"/>
    </row>
    <row r="495" spans="6:12" ht="15.75">
      <c r="F495" s="2"/>
      <c r="G495" s="42"/>
      <c r="H495" s="42"/>
      <c r="I495" s="42"/>
      <c r="J495" s="42"/>
      <c r="K495" s="386"/>
      <c r="L495" s="386"/>
    </row>
    <row r="496" spans="6:12" ht="15.75">
      <c r="F496" s="2"/>
      <c r="G496" s="42"/>
      <c r="H496" s="42"/>
      <c r="I496" s="42"/>
      <c r="J496" s="42"/>
      <c r="K496" s="386"/>
      <c r="L496" s="386"/>
    </row>
    <row r="497" spans="6:12" ht="15.75">
      <c r="F497" s="2"/>
      <c r="G497" s="42"/>
      <c r="H497" s="42"/>
      <c r="I497" s="42"/>
      <c r="J497" s="42"/>
      <c r="K497" s="386"/>
      <c r="L497" s="386"/>
    </row>
    <row r="498" spans="6:12" ht="15.75">
      <c r="F498" s="2"/>
      <c r="G498" s="42"/>
      <c r="H498" s="42"/>
      <c r="I498" s="42"/>
      <c r="J498" s="42"/>
      <c r="K498" s="386"/>
      <c r="L498" s="386"/>
    </row>
    <row r="499" spans="6:12" ht="15.75">
      <c r="F499" s="2"/>
      <c r="G499" s="42"/>
      <c r="H499" s="42"/>
      <c r="I499" s="42"/>
      <c r="J499" s="42"/>
      <c r="K499" s="386"/>
      <c r="L499" s="386"/>
    </row>
    <row r="500" spans="6:12" ht="15.75">
      <c r="F500" s="2"/>
      <c r="G500" s="42"/>
      <c r="H500" s="42"/>
      <c r="I500" s="42"/>
      <c r="J500" s="42"/>
      <c r="K500" s="386"/>
      <c r="L500" s="386"/>
    </row>
    <row r="501" spans="6:12" ht="15.75">
      <c r="F501" s="2"/>
      <c r="G501" s="42"/>
      <c r="H501" s="42"/>
      <c r="I501" s="42"/>
      <c r="J501" s="42"/>
      <c r="K501" s="386"/>
      <c r="L501" s="386"/>
    </row>
    <row r="502" spans="6:12" ht="15.75">
      <c r="F502" s="2"/>
      <c r="G502" s="42"/>
      <c r="H502" s="42"/>
      <c r="I502" s="42"/>
      <c r="J502" s="42"/>
      <c r="K502" s="386"/>
      <c r="L502" s="386"/>
    </row>
    <row r="503" spans="6:12" ht="15.75">
      <c r="F503" s="2"/>
      <c r="G503" s="42"/>
      <c r="H503" s="42"/>
      <c r="I503" s="42"/>
      <c r="J503" s="42"/>
      <c r="K503" s="386"/>
      <c r="L503" s="386"/>
    </row>
    <row r="504" spans="6:12" ht="15.75">
      <c r="F504" s="2"/>
      <c r="G504" s="42"/>
      <c r="H504" s="42"/>
      <c r="I504" s="42"/>
      <c r="J504" s="42"/>
      <c r="K504" s="386"/>
      <c r="L504" s="386"/>
    </row>
    <row r="505" spans="6:12" ht="15.75">
      <c r="F505" s="2"/>
      <c r="G505" s="42"/>
      <c r="H505" s="42"/>
      <c r="I505" s="42"/>
      <c r="J505" s="42"/>
      <c r="K505" s="386"/>
      <c r="L505" s="386"/>
    </row>
    <row r="506" spans="6:12" ht="15.75">
      <c r="F506" s="2"/>
      <c r="G506" s="42"/>
      <c r="H506" s="42"/>
      <c r="I506" s="42"/>
      <c r="J506" s="42"/>
      <c r="K506" s="386"/>
      <c r="L506" s="386"/>
    </row>
    <row r="507" spans="6:12" ht="15.75">
      <c r="F507" s="2"/>
      <c r="G507" s="42"/>
      <c r="H507" s="42"/>
      <c r="I507" s="42"/>
      <c r="J507" s="42"/>
      <c r="K507" s="386"/>
      <c r="L507" s="386"/>
    </row>
    <row r="508" spans="6:12" ht="15.75">
      <c r="F508" s="2"/>
      <c r="G508" s="42"/>
      <c r="H508" s="42"/>
      <c r="I508" s="42"/>
      <c r="J508" s="42"/>
      <c r="K508" s="386"/>
      <c r="L508" s="386"/>
    </row>
    <row r="509" spans="6:12" ht="15.75">
      <c r="F509" s="2"/>
      <c r="G509" s="42"/>
      <c r="H509" s="42"/>
      <c r="I509" s="42"/>
      <c r="J509" s="42"/>
      <c r="K509" s="386"/>
      <c r="L509" s="386"/>
    </row>
    <row r="510" spans="6:12" ht="15.75">
      <c r="F510" s="2"/>
      <c r="G510" s="42"/>
      <c r="H510" s="42"/>
      <c r="I510" s="42"/>
      <c r="J510" s="42"/>
      <c r="K510" s="386"/>
      <c r="L510" s="386"/>
    </row>
    <row r="511" spans="6:12" ht="15.75">
      <c r="F511" s="2"/>
      <c r="G511" s="42"/>
      <c r="H511" s="42"/>
      <c r="I511" s="42"/>
      <c r="J511" s="42"/>
      <c r="K511" s="386"/>
      <c r="L511" s="386"/>
    </row>
    <row r="512" spans="6:12" ht="15.75">
      <c r="F512" s="2"/>
      <c r="G512" s="42"/>
      <c r="H512" s="42"/>
      <c r="I512" s="42"/>
      <c r="J512" s="42"/>
      <c r="K512" s="386"/>
      <c r="L512" s="386"/>
    </row>
    <row r="513" spans="6:12" ht="15.75">
      <c r="F513" s="2"/>
      <c r="G513" s="42"/>
      <c r="H513" s="42"/>
      <c r="I513" s="42"/>
      <c r="J513" s="42"/>
      <c r="K513" s="386"/>
      <c r="L513" s="386"/>
    </row>
    <row r="514" spans="6:12" ht="15.75">
      <c r="F514" s="2"/>
      <c r="G514" s="42"/>
      <c r="H514" s="42"/>
      <c r="I514" s="42"/>
      <c r="J514" s="42"/>
      <c r="K514" s="386"/>
      <c r="L514" s="386"/>
    </row>
    <row r="515" spans="6:12" ht="15.75">
      <c r="F515" s="2"/>
      <c r="G515" s="42"/>
      <c r="H515" s="42"/>
      <c r="I515" s="42"/>
      <c r="J515" s="42"/>
      <c r="K515" s="386"/>
      <c r="L515" s="386"/>
    </row>
    <row r="516" spans="6:12" ht="15.75">
      <c r="F516" s="2"/>
      <c r="G516" s="42"/>
      <c r="H516" s="42"/>
      <c r="I516" s="42"/>
      <c r="J516" s="42"/>
      <c r="K516" s="386"/>
      <c r="L516" s="386"/>
    </row>
    <row r="517" spans="6:12" ht="15.75">
      <c r="F517" s="2"/>
      <c r="G517" s="42"/>
      <c r="H517" s="42"/>
      <c r="I517" s="42"/>
      <c r="J517" s="42"/>
      <c r="K517" s="386"/>
      <c r="L517" s="386"/>
    </row>
    <row r="518" spans="6:12" ht="15.75">
      <c r="F518" s="2"/>
      <c r="G518" s="42"/>
      <c r="H518" s="42"/>
      <c r="I518" s="42"/>
      <c r="J518" s="42"/>
      <c r="K518" s="386"/>
      <c r="L518" s="386"/>
    </row>
    <row r="519" spans="6:12" ht="15.75">
      <c r="F519" s="2"/>
      <c r="G519" s="42"/>
      <c r="H519" s="42"/>
      <c r="I519" s="42"/>
      <c r="J519" s="42"/>
      <c r="K519" s="386"/>
      <c r="L519" s="386"/>
    </row>
    <row r="520" spans="6:12" ht="15.75">
      <c r="F520" s="2"/>
      <c r="G520" s="42"/>
      <c r="H520" s="42"/>
      <c r="I520" s="42"/>
      <c r="J520" s="42"/>
      <c r="K520" s="386"/>
      <c r="L520" s="386"/>
    </row>
    <row r="521" spans="6:12" ht="15.75">
      <c r="F521" s="2"/>
      <c r="G521" s="42"/>
      <c r="H521" s="42"/>
      <c r="I521" s="42"/>
      <c r="J521" s="42"/>
      <c r="K521" s="386"/>
      <c r="L521" s="386"/>
    </row>
    <row r="522" spans="6:12" ht="15.75">
      <c r="F522" s="2"/>
      <c r="G522" s="42"/>
      <c r="H522" s="42"/>
      <c r="I522" s="42"/>
      <c r="J522" s="42"/>
      <c r="K522" s="386"/>
      <c r="L522" s="386"/>
    </row>
    <row r="523" spans="6:12" ht="15.75">
      <c r="F523" s="2"/>
      <c r="G523" s="42"/>
      <c r="H523" s="42"/>
      <c r="I523" s="42"/>
      <c r="J523" s="42"/>
      <c r="K523" s="386"/>
      <c r="L523" s="386"/>
    </row>
    <row r="524" spans="6:12" ht="15.75">
      <c r="F524" s="2"/>
      <c r="G524" s="42"/>
      <c r="H524" s="42"/>
      <c r="I524" s="42"/>
      <c r="J524" s="42"/>
      <c r="K524" s="386"/>
      <c r="L524" s="386"/>
    </row>
    <row r="525" spans="6:12" ht="15.75">
      <c r="F525" s="2"/>
      <c r="G525" s="42"/>
      <c r="H525" s="42"/>
      <c r="I525" s="42"/>
      <c r="J525" s="42"/>
      <c r="K525" s="386"/>
      <c r="L525" s="386"/>
    </row>
    <row r="526" spans="6:12" ht="15.75">
      <c r="F526" s="2"/>
      <c r="G526" s="42"/>
      <c r="H526" s="42"/>
      <c r="I526" s="42"/>
      <c r="J526" s="42"/>
      <c r="K526" s="386"/>
      <c r="L526" s="386"/>
    </row>
    <row r="527" spans="6:12" ht="15.75">
      <c r="F527" s="2"/>
      <c r="G527" s="42"/>
      <c r="H527" s="42"/>
      <c r="I527" s="42"/>
      <c r="J527" s="42"/>
      <c r="K527" s="386"/>
      <c r="L527" s="386"/>
    </row>
    <row r="528" spans="6:12" ht="15.75">
      <c r="F528" s="2"/>
      <c r="G528" s="42"/>
      <c r="H528" s="42"/>
      <c r="I528" s="42"/>
      <c r="J528" s="42"/>
      <c r="K528" s="386"/>
      <c r="L528" s="386"/>
    </row>
    <row r="529" spans="6:12" ht="15.75">
      <c r="F529" s="2"/>
      <c r="G529" s="42"/>
      <c r="H529" s="42"/>
      <c r="I529" s="42"/>
      <c r="J529" s="42"/>
      <c r="K529" s="386"/>
      <c r="L529" s="386"/>
    </row>
    <row r="530" spans="6:12" ht="15.75">
      <c r="F530" s="2"/>
      <c r="G530" s="42"/>
      <c r="H530" s="42"/>
      <c r="I530" s="42"/>
      <c r="J530" s="42"/>
      <c r="K530" s="386"/>
      <c r="L530" s="386"/>
    </row>
    <row r="531" spans="6:12" ht="15.75">
      <c r="F531" s="2"/>
      <c r="G531" s="42"/>
      <c r="H531" s="42"/>
      <c r="I531" s="42"/>
      <c r="J531" s="42"/>
      <c r="K531" s="386"/>
      <c r="L531" s="386"/>
    </row>
    <row r="532" spans="6:12" ht="15.75">
      <c r="F532" s="2"/>
      <c r="G532" s="42"/>
      <c r="H532" s="42"/>
      <c r="I532" s="42"/>
      <c r="J532" s="42"/>
      <c r="K532" s="386"/>
      <c r="L532" s="386"/>
    </row>
    <row r="533" spans="6:12" ht="15.75">
      <c r="F533" s="2"/>
      <c r="G533" s="42"/>
      <c r="H533" s="42"/>
      <c r="I533" s="42"/>
      <c r="J533" s="42"/>
      <c r="K533" s="386"/>
      <c r="L533" s="386"/>
    </row>
    <row r="534" spans="6:12" ht="15.75">
      <c r="F534" s="2"/>
      <c r="G534" s="42"/>
      <c r="H534" s="42"/>
      <c r="I534" s="42"/>
      <c r="J534" s="42"/>
      <c r="K534" s="386"/>
      <c r="L534" s="386"/>
    </row>
    <row r="535" spans="6:12" ht="15.75">
      <c r="F535" s="2"/>
      <c r="G535" s="42"/>
      <c r="H535" s="42"/>
      <c r="I535" s="42"/>
      <c r="J535" s="42"/>
      <c r="K535" s="386"/>
      <c r="L535" s="386"/>
    </row>
    <row r="536" spans="6:12" ht="15.75">
      <c r="F536" s="2"/>
      <c r="G536" s="42"/>
      <c r="H536" s="42"/>
      <c r="I536" s="42"/>
      <c r="J536" s="42"/>
      <c r="K536" s="386"/>
      <c r="L536" s="386"/>
    </row>
    <row r="537" spans="6:12" ht="15.75">
      <c r="F537" s="2"/>
      <c r="G537" s="42"/>
      <c r="H537" s="42"/>
      <c r="I537" s="42"/>
      <c r="J537" s="42"/>
      <c r="K537" s="386"/>
      <c r="L537" s="386"/>
    </row>
    <row r="538" spans="6:12" ht="15.75">
      <c r="F538" s="2"/>
      <c r="G538" s="42"/>
      <c r="H538" s="42"/>
      <c r="I538" s="42"/>
      <c r="J538" s="42"/>
      <c r="K538" s="386"/>
      <c r="L538" s="386"/>
    </row>
    <row r="539" spans="6:12" ht="15.75">
      <c r="F539" s="2"/>
      <c r="G539" s="42"/>
      <c r="H539" s="42"/>
      <c r="I539" s="42"/>
      <c r="J539" s="42"/>
      <c r="K539" s="386"/>
      <c r="L539" s="386"/>
    </row>
    <row r="540" spans="6:12" ht="15.75">
      <c r="F540" s="2"/>
      <c r="G540" s="42"/>
      <c r="H540" s="42"/>
      <c r="I540" s="42"/>
      <c r="J540" s="42"/>
      <c r="K540" s="386"/>
      <c r="L540" s="386"/>
    </row>
    <row r="541" spans="6:12" ht="15.75">
      <c r="F541" s="2"/>
      <c r="G541" s="42"/>
      <c r="H541" s="42"/>
      <c r="I541" s="42"/>
      <c r="J541" s="42"/>
      <c r="K541" s="386"/>
      <c r="L541" s="386"/>
    </row>
    <row r="542" spans="6:12" ht="15.75">
      <c r="F542" s="2"/>
      <c r="G542" s="42"/>
      <c r="H542" s="42"/>
      <c r="I542" s="42"/>
      <c r="J542" s="42"/>
      <c r="K542" s="386"/>
      <c r="L542" s="386"/>
    </row>
    <row r="543" spans="6:12" ht="15.75">
      <c r="F543" s="2"/>
      <c r="G543" s="42"/>
      <c r="H543" s="42"/>
      <c r="I543" s="42"/>
      <c r="J543" s="42"/>
      <c r="K543" s="386"/>
      <c r="L543" s="386"/>
    </row>
    <row r="544" spans="6:12" ht="15.75">
      <c r="F544" s="2"/>
      <c r="G544" s="42"/>
      <c r="H544" s="42"/>
      <c r="I544" s="42"/>
      <c r="J544" s="42"/>
      <c r="K544" s="386"/>
      <c r="L544" s="386"/>
    </row>
    <row r="545" spans="6:12" ht="15.75">
      <c r="F545" s="2"/>
      <c r="G545" s="42"/>
      <c r="H545" s="42"/>
      <c r="I545" s="42"/>
      <c r="J545" s="42"/>
      <c r="K545" s="386"/>
      <c r="L545" s="386"/>
    </row>
    <row r="546" spans="6:12" ht="15.75">
      <c r="F546" s="2"/>
      <c r="G546" s="42"/>
      <c r="H546" s="42"/>
      <c r="I546" s="42"/>
      <c r="J546" s="42"/>
      <c r="K546" s="386"/>
      <c r="L546" s="386"/>
    </row>
    <row r="547" spans="6:12" ht="15.75">
      <c r="F547" s="2"/>
      <c r="G547" s="42"/>
      <c r="H547" s="42"/>
      <c r="I547" s="42"/>
      <c r="J547" s="42"/>
      <c r="K547" s="386"/>
      <c r="L547" s="386"/>
    </row>
    <row r="548" spans="6:12" ht="15.75">
      <c r="F548" s="2"/>
      <c r="G548" s="42"/>
      <c r="H548" s="42"/>
      <c r="I548" s="42"/>
      <c r="J548" s="42"/>
      <c r="K548" s="386"/>
      <c r="L548" s="386"/>
    </row>
    <row r="549" spans="6:12" ht="15.75">
      <c r="F549" s="2"/>
      <c r="G549" s="42"/>
      <c r="H549" s="42"/>
      <c r="I549" s="42"/>
      <c r="J549" s="42"/>
      <c r="K549" s="386"/>
      <c r="L549" s="386"/>
    </row>
    <row r="550" spans="6:12" ht="15.75">
      <c r="F550" s="2"/>
      <c r="G550" s="42"/>
      <c r="H550" s="42"/>
      <c r="I550" s="42"/>
      <c r="J550" s="42"/>
      <c r="K550" s="386"/>
      <c r="L550" s="386"/>
    </row>
    <row r="551" spans="6:12" ht="15.75">
      <c r="F551" s="2"/>
      <c r="G551" s="42"/>
      <c r="H551" s="42"/>
      <c r="I551" s="42"/>
      <c r="J551" s="42"/>
      <c r="K551" s="386"/>
      <c r="L551" s="386"/>
    </row>
    <row r="552" spans="6:12" ht="15.75">
      <c r="F552" s="2"/>
      <c r="G552" s="42"/>
      <c r="H552" s="42"/>
      <c r="I552" s="42"/>
      <c r="J552" s="42"/>
      <c r="K552" s="386"/>
      <c r="L552" s="386"/>
    </row>
    <row r="553" spans="6:12" ht="15.75">
      <c r="F553" s="2"/>
      <c r="G553" s="42"/>
      <c r="H553" s="42"/>
      <c r="I553" s="42"/>
      <c r="J553" s="42"/>
      <c r="K553" s="386"/>
      <c r="L553" s="386"/>
    </row>
    <row r="554" spans="6:12" ht="15.75">
      <c r="F554" s="2"/>
      <c r="G554" s="42"/>
      <c r="H554" s="42"/>
      <c r="I554" s="42"/>
      <c r="J554" s="42"/>
      <c r="K554" s="386"/>
      <c r="L554" s="386"/>
    </row>
    <row r="555" spans="6:12" ht="15.75">
      <c r="F555" s="2"/>
      <c r="G555" s="42"/>
      <c r="H555" s="42"/>
      <c r="I555" s="42"/>
      <c r="J555" s="42"/>
      <c r="K555" s="386"/>
      <c r="L555" s="386"/>
    </row>
    <row r="556" spans="6:12" ht="15.75">
      <c r="F556" s="2"/>
      <c r="G556" s="42"/>
      <c r="H556" s="42"/>
      <c r="I556" s="42"/>
      <c r="J556" s="42"/>
      <c r="K556" s="386"/>
      <c r="L556" s="386"/>
    </row>
    <row r="557" spans="6:12" ht="15.75">
      <c r="F557" s="2"/>
      <c r="G557" s="42"/>
      <c r="H557" s="42"/>
      <c r="I557" s="42"/>
      <c r="J557" s="42"/>
      <c r="K557" s="386"/>
      <c r="L557" s="386"/>
    </row>
    <row r="558" spans="6:12" ht="15.75">
      <c r="F558" s="2"/>
      <c r="G558" s="42"/>
      <c r="H558" s="42"/>
      <c r="I558" s="42"/>
      <c r="J558" s="42"/>
      <c r="K558" s="386"/>
      <c r="L558" s="386"/>
    </row>
    <row r="559" spans="6:12" ht="15.75">
      <c r="F559" s="2"/>
      <c r="G559" s="42"/>
      <c r="H559" s="42"/>
      <c r="I559" s="42"/>
      <c r="J559" s="42"/>
      <c r="K559" s="386"/>
      <c r="L559" s="386"/>
    </row>
    <row r="560" spans="6:12" ht="15.75">
      <c r="F560" s="2"/>
      <c r="G560" s="42"/>
      <c r="H560" s="42"/>
      <c r="I560" s="42"/>
      <c r="J560" s="42"/>
      <c r="K560" s="386"/>
      <c r="L560" s="386"/>
    </row>
    <row r="561" spans="6:12" ht="15.75">
      <c r="F561" s="2"/>
      <c r="G561" s="42"/>
      <c r="H561" s="42"/>
      <c r="I561" s="42"/>
      <c r="J561" s="42"/>
      <c r="K561" s="386"/>
      <c r="L561" s="386"/>
    </row>
    <row r="562" spans="6:12" ht="15.75">
      <c r="F562" s="2"/>
      <c r="G562" s="42"/>
      <c r="H562" s="42"/>
      <c r="I562" s="42"/>
      <c r="J562" s="42"/>
      <c r="K562" s="386"/>
      <c r="L562" s="386"/>
    </row>
    <row r="563" spans="6:12" ht="15.75">
      <c r="F563" s="2"/>
      <c r="G563" s="42"/>
      <c r="H563" s="42"/>
      <c r="I563" s="42"/>
      <c r="J563" s="42"/>
      <c r="K563" s="386"/>
      <c r="L563" s="386"/>
    </row>
    <row r="564" spans="6:12" ht="15.75">
      <c r="F564" s="2"/>
      <c r="G564" s="42"/>
      <c r="H564" s="42"/>
      <c r="I564" s="42"/>
      <c r="J564" s="42"/>
      <c r="K564" s="386"/>
      <c r="L564" s="386"/>
    </row>
    <row r="565" spans="6:12" ht="15.75">
      <c r="F565" s="2"/>
      <c r="G565" s="42"/>
      <c r="H565" s="42"/>
      <c r="I565" s="42"/>
      <c r="J565" s="42"/>
      <c r="K565" s="386"/>
      <c r="L565" s="386"/>
    </row>
    <row r="566" spans="6:12" ht="15.75">
      <c r="F566" s="2"/>
      <c r="G566" s="42"/>
      <c r="H566" s="42"/>
      <c r="I566" s="42"/>
      <c r="J566" s="42"/>
      <c r="K566" s="386"/>
      <c r="L566" s="386"/>
    </row>
    <row r="567" spans="6:12" ht="15.75">
      <c r="F567" s="2"/>
      <c r="G567" s="42"/>
      <c r="H567" s="42"/>
      <c r="I567" s="42"/>
      <c r="J567" s="42"/>
      <c r="K567" s="386"/>
      <c r="L567" s="386"/>
    </row>
    <row r="568" spans="6:12" ht="15.75">
      <c r="F568" s="2"/>
      <c r="G568" s="42"/>
      <c r="H568" s="42"/>
      <c r="I568" s="42"/>
      <c r="J568" s="42"/>
      <c r="K568" s="386"/>
      <c r="L568" s="386"/>
    </row>
    <row r="569" spans="6:12" ht="15.75">
      <c r="F569" s="2"/>
      <c r="G569" s="42"/>
      <c r="H569" s="42"/>
      <c r="I569" s="42"/>
      <c r="J569" s="42"/>
      <c r="K569" s="386"/>
      <c r="L569" s="386"/>
    </row>
    <row r="570" spans="6:12" ht="15.75">
      <c r="F570" s="2"/>
      <c r="G570" s="42"/>
      <c r="H570" s="42"/>
      <c r="I570" s="42"/>
      <c r="J570" s="42"/>
      <c r="K570" s="386"/>
      <c r="L570" s="386"/>
    </row>
    <row r="571" spans="6:12" ht="15.75">
      <c r="F571" s="2"/>
      <c r="G571" s="42"/>
      <c r="H571" s="42"/>
      <c r="I571" s="42"/>
      <c r="J571" s="42"/>
      <c r="K571" s="386"/>
      <c r="L571" s="386"/>
    </row>
    <row r="572" spans="6:12" ht="15.75">
      <c r="F572" s="2"/>
      <c r="G572" s="42"/>
      <c r="H572" s="42"/>
      <c r="I572" s="42"/>
      <c r="J572" s="42"/>
      <c r="K572" s="386"/>
      <c r="L572" s="386"/>
    </row>
    <row r="573" spans="6:12" ht="15.75">
      <c r="F573" s="2"/>
      <c r="G573" s="42"/>
      <c r="H573" s="42"/>
      <c r="I573" s="42"/>
      <c r="J573" s="42"/>
      <c r="K573" s="386"/>
      <c r="L573" s="386"/>
    </row>
    <row r="574" spans="6:12" ht="15.75">
      <c r="F574" s="2"/>
      <c r="G574" s="42"/>
      <c r="H574" s="42"/>
      <c r="I574" s="42"/>
      <c r="J574" s="42"/>
      <c r="K574" s="386"/>
      <c r="L574" s="386"/>
    </row>
    <row r="575" spans="6:12" ht="15.75">
      <c r="F575" s="2"/>
      <c r="G575" s="42"/>
      <c r="H575" s="42"/>
      <c r="I575" s="42"/>
      <c r="J575" s="42"/>
      <c r="K575" s="386"/>
      <c r="L575" s="386"/>
    </row>
    <row r="576" spans="6:12" ht="15.75">
      <c r="F576" s="2"/>
      <c r="G576" s="42"/>
      <c r="H576" s="42"/>
      <c r="I576" s="42"/>
      <c r="J576" s="42"/>
      <c r="K576" s="386"/>
      <c r="L576" s="386"/>
    </row>
    <row r="577" spans="6:12" ht="15.75">
      <c r="F577" s="2"/>
      <c r="G577" s="42"/>
      <c r="H577" s="42"/>
      <c r="I577" s="42"/>
      <c r="J577" s="42"/>
      <c r="K577" s="386"/>
      <c r="L577" s="386"/>
    </row>
    <row r="578" spans="6:12" ht="15.75">
      <c r="F578" s="2"/>
      <c r="G578" s="42"/>
      <c r="H578" s="42"/>
      <c r="I578" s="42"/>
      <c r="J578" s="42"/>
      <c r="K578" s="386"/>
      <c r="L578" s="386"/>
    </row>
    <row r="579" spans="6:12" ht="15.75">
      <c r="F579" s="2"/>
      <c r="G579" s="42"/>
      <c r="H579" s="42"/>
      <c r="I579" s="42"/>
      <c r="J579" s="42"/>
      <c r="K579" s="386"/>
      <c r="L579" s="386"/>
    </row>
    <row r="580" spans="6:12" ht="15.75">
      <c r="F580" s="2"/>
      <c r="G580" s="42"/>
      <c r="H580" s="42"/>
      <c r="I580" s="42"/>
      <c r="J580" s="42"/>
      <c r="K580" s="386"/>
      <c r="L580" s="386"/>
    </row>
    <row r="581" spans="6:12" ht="15.75">
      <c r="F581" s="2"/>
      <c r="G581" s="42"/>
      <c r="H581" s="42"/>
      <c r="I581" s="42"/>
      <c r="J581" s="42"/>
      <c r="K581" s="386"/>
      <c r="L581" s="386"/>
    </row>
    <row r="582" spans="6:12" ht="15.75">
      <c r="F582" s="2"/>
      <c r="G582" s="42"/>
      <c r="H582" s="42"/>
      <c r="I582" s="42"/>
      <c r="J582" s="42"/>
      <c r="K582" s="386"/>
      <c r="L582" s="386"/>
    </row>
    <row r="583" spans="6:12" ht="15.75">
      <c r="F583" s="2"/>
      <c r="G583" s="42"/>
      <c r="H583" s="42"/>
      <c r="I583" s="42"/>
      <c r="J583" s="42"/>
      <c r="K583" s="386"/>
      <c r="L583" s="386"/>
    </row>
    <row r="584" spans="6:12" ht="15.75">
      <c r="F584" s="2"/>
      <c r="G584" s="42"/>
      <c r="H584" s="42"/>
      <c r="I584" s="42"/>
      <c r="J584" s="42"/>
      <c r="K584" s="386"/>
      <c r="L584" s="386"/>
    </row>
    <row r="585" spans="6:12" ht="15.75">
      <c r="F585" s="2"/>
      <c r="G585" s="42"/>
      <c r="H585" s="42"/>
      <c r="I585" s="42"/>
      <c r="J585" s="42"/>
      <c r="K585" s="386"/>
      <c r="L585" s="386"/>
    </row>
    <row r="586" spans="6:12" ht="15.75">
      <c r="F586" s="2"/>
      <c r="G586" s="42"/>
      <c r="H586" s="42"/>
      <c r="I586" s="42"/>
      <c r="J586" s="42"/>
      <c r="K586" s="386"/>
      <c r="L586" s="386"/>
    </row>
    <row r="587" spans="6:12" ht="15.75">
      <c r="F587" s="2"/>
      <c r="G587" s="42"/>
      <c r="H587" s="42"/>
      <c r="I587" s="42"/>
      <c r="J587" s="42"/>
      <c r="K587" s="386"/>
      <c r="L587" s="386"/>
    </row>
    <row r="588" spans="6:12" ht="15.75">
      <c r="F588" s="2"/>
      <c r="G588" s="42"/>
      <c r="H588" s="42"/>
      <c r="I588" s="42"/>
      <c r="J588" s="42"/>
      <c r="K588" s="386"/>
      <c r="L588" s="386"/>
    </row>
    <row r="589" spans="6:12" ht="15.75">
      <c r="F589" s="2"/>
      <c r="G589" s="42"/>
      <c r="H589" s="42"/>
      <c r="I589" s="42"/>
      <c r="J589" s="42"/>
      <c r="K589" s="386"/>
      <c r="L589" s="386"/>
    </row>
    <row r="590" spans="6:12" ht="15.75">
      <c r="F590" s="2"/>
      <c r="G590" s="42"/>
      <c r="H590" s="42"/>
      <c r="I590" s="42"/>
      <c r="J590" s="42"/>
      <c r="K590" s="386"/>
      <c r="L590" s="386"/>
    </row>
    <row r="591" spans="6:12" ht="15.75">
      <c r="F591" s="2"/>
      <c r="G591" s="42"/>
      <c r="H591" s="42"/>
      <c r="I591" s="42"/>
      <c r="J591" s="42"/>
      <c r="K591" s="386"/>
      <c r="L591" s="386"/>
    </row>
    <row r="592" spans="6:12" ht="15.75">
      <c r="F592" s="2"/>
      <c r="G592" s="42"/>
      <c r="H592" s="42"/>
      <c r="I592" s="42"/>
      <c r="J592" s="42"/>
      <c r="K592" s="386"/>
      <c r="L592" s="386"/>
    </row>
    <row r="593" spans="6:12" ht="15.75">
      <c r="F593" s="2"/>
      <c r="G593" s="42"/>
      <c r="H593" s="42"/>
      <c r="I593" s="42"/>
      <c r="J593" s="42"/>
      <c r="K593" s="386"/>
      <c r="L593" s="386"/>
    </row>
    <row r="594" spans="6:12" ht="15.75">
      <c r="F594" s="2"/>
      <c r="G594" s="42"/>
      <c r="H594" s="42"/>
      <c r="I594" s="42"/>
      <c r="J594" s="42"/>
      <c r="K594" s="386"/>
      <c r="L594" s="386"/>
    </row>
    <row r="595" spans="6:12" ht="15.75">
      <c r="F595" s="2"/>
      <c r="G595" s="42"/>
      <c r="H595" s="42"/>
      <c r="I595" s="42"/>
      <c r="J595" s="42"/>
      <c r="K595" s="386"/>
      <c r="L595" s="386"/>
    </row>
    <row r="596" spans="6:12" ht="15.75">
      <c r="F596" s="2"/>
      <c r="G596" s="42"/>
      <c r="H596" s="42"/>
      <c r="I596" s="42"/>
      <c r="J596" s="42"/>
      <c r="K596" s="386"/>
      <c r="L596" s="386"/>
    </row>
    <row r="597" spans="6:12" ht="15.75">
      <c r="F597" s="2"/>
      <c r="G597" s="42"/>
      <c r="H597" s="42"/>
      <c r="I597" s="42"/>
      <c r="J597" s="42"/>
      <c r="K597" s="386"/>
      <c r="L597" s="386"/>
    </row>
    <row r="598" spans="6:12" ht="15.75">
      <c r="F598" s="2"/>
      <c r="G598" s="42"/>
      <c r="H598" s="42"/>
      <c r="I598" s="42"/>
      <c r="J598" s="42"/>
      <c r="K598" s="386"/>
      <c r="L598" s="386"/>
    </row>
    <row r="599" spans="6:12" ht="15.75">
      <c r="F599" s="2"/>
      <c r="G599" s="42"/>
      <c r="H599" s="42"/>
      <c r="I599" s="42"/>
      <c r="J599" s="42"/>
      <c r="K599" s="386"/>
      <c r="L599" s="386"/>
    </row>
    <row r="600" spans="6:12" ht="15.75">
      <c r="F600" s="2"/>
      <c r="G600" s="42"/>
      <c r="H600" s="42"/>
      <c r="I600" s="42"/>
      <c r="J600" s="42"/>
      <c r="K600" s="386"/>
      <c r="L600" s="386"/>
    </row>
    <row r="601" spans="6:12" ht="15.75">
      <c r="F601" s="2"/>
      <c r="G601" s="42"/>
      <c r="H601" s="42"/>
      <c r="I601" s="42"/>
      <c r="J601" s="42"/>
      <c r="K601" s="386"/>
      <c r="L601" s="386"/>
    </row>
    <row r="602" spans="6:12" ht="15.75">
      <c r="F602" s="2"/>
      <c r="G602" s="42"/>
      <c r="H602" s="42"/>
      <c r="I602" s="42"/>
      <c r="J602" s="42"/>
      <c r="K602" s="386"/>
      <c r="L602" s="386"/>
    </row>
    <row r="603" spans="6:12" ht="15.75">
      <c r="F603" s="2"/>
      <c r="G603" s="42"/>
      <c r="H603" s="42"/>
      <c r="I603" s="42"/>
      <c r="J603" s="42"/>
      <c r="K603" s="386"/>
      <c r="L603" s="386"/>
    </row>
    <row r="604" spans="6:12" ht="15.75">
      <c r="F604" s="2"/>
      <c r="G604" s="42"/>
      <c r="H604" s="42"/>
      <c r="I604" s="42"/>
      <c r="J604" s="42"/>
      <c r="K604" s="386"/>
      <c r="L604" s="386"/>
    </row>
    <row r="605" spans="6:12" ht="15.75">
      <c r="F605" s="2"/>
      <c r="G605" s="42"/>
      <c r="H605" s="42"/>
      <c r="I605" s="42"/>
      <c r="J605" s="42"/>
      <c r="K605" s="386"/>
      <c r="L605" s="386"/>
    </row>
    <row r="606" spans="6:12" ht="15.75">
      <c r="F606" s="2"/>
      <c r="G606" s="42"/>
      <c r="H606" s="42"/>
      <c r="I606" s="42"/>
      <c r="J606" s="42"/>
      <c r="K606" s="386"/>
      <c r="L606" s="386"/>
    </row>
    <row r="607" spans="6:12" ht="15.75">
      <c r="F607" s="2"/>
      <c r="G607" s="42"/>
      <c r="H607" s="42"/>
      <c r="I607" s="42"/>
      <c r="J607" s="42"/>
      <c r="K607" s="386"/>
      <c r="L607" s="386"/>
    </row>
    <row r="608" spans="6:12" ht="15.75">
      <c r="F608" s="2"/>
      <c r="G608" s="42"/>
      <c r="H608" s="42"/>
      <c r="I608" s="42"/>
      <c r="J608" s="42"/>
      <c r="K608" s="386"/>
      <c r="L608" s="386"/>
    </row>
    <row r="609" spans="6:12" ht="15.75">
      <c r="F609" s="2"/>
      <c r="G609" s="42"/>
      <c r="H609" s="42"/>
      <c r="I609" s="42"/>
      <c r="J609" s="42"/>
      <c r="K609" s="386"/>
      <c r="L609" s="386"/>
    </row>
    <row r="610" spans="6:12" ht="15.75">
      <c r="F610" s="2"/>
      <c r="G610" s="42"/>
      <c r="H610" s="42"/>
      <c r="I610" s="42"/>
      <c r="J610" s="42"/>
      <c r="K610" s="386"/>
      <c r="L610" s="386"/>
    </row>
    <row r="611" spans="6:12" ht="15.75">
      <c r="F611" s="2"/>
      <c r="G611" s="42"/>
      <c r="H611" s="42"/>
      <c r="I611" s="42"/>
      <c r="J611" s="42"/>
      <c r="K611" s="386"/>
      <c r="L611" s="386"/>
    </row>
    <row r="612" spans="6:12" ht="15.75">
      <c r="F612" s="2"/>
      <c r="G612" s="42"/>
      <c r="H612" s="42"/>
      <c r="I612" s="42"/>
      <c r="J612" s="42"/>
      <c r="K612" s="386"/>
      <c r="L612" s="386"/>
    </row>
    <row r="613" spans="6:12" ht="15.75">
      <c r="F613" s="2"/>
      <c r="G613" s="42"/>
      <c r="H613" s="42"/>
      <c r="I613" s="42"/>
      <c r="J613" s="42"/>
      <c r="K613" s="386"/>
      <c r="L613" s="386"/>
    </row>
    <row r="614" spans="6:12" ht="15.75">
      <c r="F614" s="2"/>
      <c r="G614" s="42"/>
      <c r="H614" s="42"/>
      <c r="I614" s="42"/>
      <c r="J614" s="42"/>
      <c r="K614" s="386"/>
      <c r="L614" s="386"/>
    </row>
    <row r="615" spans="6:12" ht="15.75">
      <c r="F615" s="2"/>
      <c r="G615" s="42"/>
      <c r="H615" s="42"/>
      <c r="I615" s="42"/>
      <c r="J615" s="42"/>
      <c r="K615" s="386"/>
      <c r="L615" s="386"/>
    </row>
    <row r="616" spans="6:12" ht="15.75">
      <c r="F616" s="2"/>
      <c r="G616" s="42"/>
      <c r="H616" s="42"/>
      <c r="I616" s="42"/>
      <c r="J616" s="42"/>
      <c r="K616" s="386"/>
      <c r="L616" s="386"/>
    </row>
    <row r="617" spans="6:12" ht="15.75">
      <c r="F617" s="2"/>
      <c r="G617" s="42"/>
      <c r="H617" s="42"/>
      <c r="I617" s="42"/>
      <c r="J617" s="42"/>
      <c r="K617" s="386"/>
      <c r="L617" s="386"/>
    </row>
    <row r="618" spans="6:12" ht="15.75">
      <c r="F618" s="2"/>
      <c r="G618" s="42"/>
      <c r="H618" s="42"/>
      <c r="I618" s="42"/>
      <c r="J618" s="42"/>
      <c r="K618" s="386"/>
      <c r="L618" s="386"/>
    </row>
    <row r="619" spans="6:12" ht="15.75">
      <c r="F619" s="2"/>
      <c r="G619" s="42"/>
      <c r="H619" s="42"/>
      <c r="I619" s="42"/>
      <c r="J619" s="42"/>
      <c r="K619" s="386"/>
      <c r="L619" s="386"/>
    </row>
    <row r="620" spans="6:12" ht="15.75">
      <c r="F620" s="2"/>
      <c r="G620" s="42"/>
      <c r="H620" s="42"/>
      <c r="I620" s="42"/>
      <c r="J620" s="42"/>
      <c r="K620" s="386"/>
      <c r="L620" s="386"/>
    </row>
    <row r="621" spans="6:12" ht="15.75">
      <c r="F621" s="2"/>
      <c r="G621" s="42"/>
      <c r="H621" s="42"/>
      <c r="I621" s="42"/>
      <c r="J621" s="42"/>
      <c r="K621" s="386"/>
      <c r="L621" s="386"/>
    </row>
    <row r="622" spans="6:12" ht="15.75">
      <c r="F622" s="2"/>
      <c r="G622" s="42"/>
      <c r="H622" s="42"/>
      <c r="I622" s="42"/>
      <c r="J622" s="42"/>
      <c r="K622" s="386"/>
      <c r="L622" s="386"/>
    </row>
    <row r="623" spans="6:12" ht="15.75">
      <c r="F623" s="2"/>
      <c r="G623" s="42"/>
      <c r="H623" s="42"/>
      <c r="I623" s="42"/>
      <c r="J623" s="42"/>
      <c r="K623" s="386"/>
      <c r="L623" s="386"/>
    </row>
    <row r="624" spans="6:12" ht="15.75">
      <c r="F624" s="2"/>
      <c r="G624" s="42"/>
      <c r="H624" s="42"/>
      <c r="I624" s="42"/>
      <c r="J624" s="42"/>
      <c r="K624" s="386"/>
      <c r="L624" s="386"/>
    </row>
    <row r="625" spans="6:12" ht="15.75">
      <c r="F625" s="2"/>
      <c r="G625" s="42"/>
      <c r="H625" s="42"/>
      <c r="I625" s="42"/>
      <c r="J625" s="42"/>
      <c r="K625" s="386"/>
      <c r="L625" s="386"/>
    </row>
    <row r="626" spans="6:12" ht="15.75">
      <c r="F626" s="2"/>
      <c r="G626" s="42"/>
      <c r="H626" s="42"/>
      <c r="I626" s="42"/>
      <c r="J626" s="42"/>
      <c r="K626" s="386"/>
      <c r="L626" s="386"/>
    </row>
    <row r="627" spans="6:12" ht="15.75">
      <c r="F627" s="2"/>
      <c r="G627" s="42"/>
      <c r="H627" s="42"/>
      <c r="I627" s="42"/>
      <c r="J627" s="42"/>
      <c r="K627" s="386"/>
      <c r="L627" s="386"/>
    </row>
    <row r="628" spans="6:12" ht="15.75">
      <c r="F628" s="2"/>
      <c r="G628" s="42"/>
      <c r="H628" s="42"/>
      <c r="I628" s="42"/>
      <c r="J628" s="42"/>
      <c r="K628" s="386"/>
      <c r="L628" s="386"/>
    </row>
    <row r="629" spans="6:12" ht="15.75">
      <c r="F629" s="2"/>
      <c r="G629" s="42"/>
      <c r="H629" s="42"/>
      <c r="I629" s="42"/>
      <c r="J629" s="42"/>
      <c r="K629" s="386"/>
      <c r="L629" s="386"/>
    </row>
    <row r="630" spans="6:12" ht="15.75">
      <c r="F630" s="2"/>
      <c r="G630" s="42"/>
      <c r="H630" s="42"/>
      <c r="I630" s="42"/>
      <c r="J630" s="42"/>
      <c r="K630" s="386"/>
      <c r="L630" s="386"/>
    </row>
    <row r="631" spans="6:12" ht="15.75">
      <c r="F631" s="2"/>
      <c r="G631" s="42"/>
      <c r="H631" s="42"/>
      <c r="I631" s="42"/>
      <c r="J631" s="42"/>
      <c r="K631" s="386"/>
      <c r="L631" s="386"/>
    </row>
    <row r="632" spans="6:12" ht="15.75">
      <c r="F632" s="2"/>
      <c r="G632" s="42"/>
      <c r="H632" s="42"/>
      <c r="I632" s="42"/>
      <c r="J632" s="42"/>
      <c r="K632" s="386"/>
      <c r="L632" s="386"/>
    </row>
    <row r="633" spans="6:12" ht="15.75">
      <c r="F633" s="2"/>
      <c r="G633" s="42"/>
      <c r="H633" s="42"/>
      <c r="I633" s="42"/>
      <c r="J633" s="42"/>
      <c r="K633" s="386"/>
      <c r="L633" s="386"/>
    </row>
    <row r="634" spans="6:12" ht="15.75">
      <c r="F634" s="2"/>
      <c r="G634" s="42"/>
      <c r="H634" s="42"/>
      <c r="I634" s="42"/>
      <c r="J634" s="42"/>
      <c r="K634" s="386"/>
      <c r="L634" s="386"/>
    </row>
    <row r="635" spans="6:12" ht="15.75">
      <c r="F635" s="2"/>
      <c r="G635" s="42"/>
      <c r="H635" s="42"/>
      <c r="I635" s="42"/>
      <c r="J635" s="42"/>
      <c r="K635" s="386"/>
      <c r="L635" s="386"/>
    </row>
    <row r="636" spans="6:12" ht="15.75">
      <c r="F636" s="2"/>
      <c r="G636" s="42"/>
      <c r="H636" s="42"/>
      <c r="I636" s="42"/>
      <c r="J636" s="42"/>
      <c r="K636" s="386"/>
      <c r="L636" s="386"/>
    </row>
    <row r="637" spans="6:12" ht="15.75">
      <c r="F637" s="2"/>
      <c r="G637" s="42"/>
      <c r="H637" s="42"/>
      <c r="I637" s="42"/>
      <c r="J637" s="42"/>
      <c r="K637" s="386"/>
      <c r="L637" s="386"/>
    </row>
    <row r="638" spans="6:12" ht="15.75">
      <c r="F638" s="2"/>
      <c r="G638" s="42"/>
      <c r="H638" s="42"/>
      <c r="I638" s="42"/>
      <c r="J638" s="42"/>
      <c r="K638" s="386"/>
      <c r="L638" s="386"/>
    </row>
    <row r="639" spans="6:12" ht="15.75">
      <c r="F639" s="2"/>
      <c r="G639" s="42"/>
      <c r="H639" s="42"/>
      <c r="I639" s="42"/>
      <c r="J639" s="42"/>
      <c r="K639" s="386"/>
      <c r="L639" s="386"/>
    </row>
    <row r="640" spans="6:12" ht="15.75">
      <c r="F640" s="2"/>
      <c r="G640" s="42"/>
      <c r="H640" s="42"/>
      <c r="I640" s="42"/>
      <c r="J640" s="42"/>
      <c r="K640" s="386"/>
      <c r="L640" s="386"/>
    </row>
    <row r="641" spans="6:12" ht="15.75">
      <c r="F641" s="2"/>
      <c r="G641" s="42"/>
      <c r="H641" s="42"/>
      <c r="I641" s="42"/>
      <c r="J641" s="42"/>
      <c r="K641" s="386"/>
      <c r="L641" s="386"/>
    </row>
    <row r="642" spans="6:12" ht="15.75">
      <c r="F642" s="2"/>
      <c r="G642" s="42"/>
      <c r="H642" s="42"/>
      <c r="I642" s="42"/>
      <c r="J642" s="42"/>
      <c r="K642" s="386"/>
      <c r="L642" s="386"/>
    </row>
    <row r="643" spans="6:12" ht="15.75">
      <c r="F643" s="2"/>
      <c r="G643" s="42"/>
      <c r="H643" s="42"/>
      <c r="I643" s="42"/>
      <c r="J643" s="42"/>
      <c r="K643" s="386"/>
      <c r="L643" s="386"/>
    </row>
    <row r="644" spans="6:12" ht="15.75">
      <c r="F644" s="2"/>
      <c r="G644" s="42"/>
      <c r="H644" s="42"/>
      <c r="I644" s="42"/>
      <c r="J644" s="42"/>
      <c r="K644" s="386"/>
      <c r="L644" s="386"/>
    </row>
    <row r="645" spans="6:12" ht="15.75">
      <c r="F645" s="2"/>
      <c r="G645" s="42"/>
      <c r="H645" s="42"/>
      <c r="I645" s="42"/>
      <c r="J645" s="42"/>
      <c r="K645" s="386"/>
      <c r="L645" s="386"/>
    </row>
    <row r="646" spans="6:12" ht="15.75">
      <c r="F646" s="2"/>
      <c r="G646" s="42"/>
      <c r="H646" s="42"/>
      <c r="I646" s="42"/>
      <c r="J646" s="42"/>
      <c r="K646" s="386"/>
      <c r="L646" s="386"/>
    </row>
    <row r="647" spans="6:12" ht="15.75">
      <c r="F647" s="2"/>
      <c r="G647" s="42"/>
      <c r="H647" s="42"/>
      <c r="I647" s="42"/>
      <c r="J647" s="42"/>
      <c r="K647" s="386"/>
      <c r="L647" s="386"/>
    </row>
    <row r="648" spans="6:12" ht="15.75">
      <c r="F648" s="2"/>
      <c r="G648" s="42"/>
      <c r="H648" s="42"/>
      <c r="I648" s="42"/>
      <c r="J648" s="42"/>
      <c r="K648" s="386"/>
      <c r="L648" s="386"/>
    </row>
    <row r="649" spans="6:12" ht="15.75">
      <c r="F649" s="2"/>
      <c r="G649" s="42"/>
      <c r="H649" s="42"/>
      <c r="I649" s="42"/>
      <c r="J649" s="42"/>
      <c r="K649" s="386"/>
      <c r="L649" s="386"/>
    </row>
    <row r="650" spans="6:12" ht="15.75">
      <c r="F650" s="2"/>
      <c r="G650" s="42"/>
      <c r="H650" s="42"/>
      <c r="I650" s="42"/>
      <c r="J650" s="42"/>
      <c r="K650" s="386"/>
      <c r="L650" s="386"/>
    </row>
    <row r="651" spans="6:12" ht="15.75">
      <c r="F651" s="2"/>
      <c r="G651" s="42"/>
      <c r="H651" s="42"/>
      <c r="I651" s="42"/>
      <c r="J651" s="42"/>
      <c r="K651" s="386"/>
      <c r="L651" s="386"/>
    </row>
    <row r="652" spans="6:12" ht="15.75">
      <c r="F652" s="2"/>
      <c r="G652" s="42"/>
      <c r="H652" s="42"/>
      <c r="I652" s="42"/>
      <c r="J652" s="42"/>
      <c r="K652" s="386"/>
      <c r="L652" s="386"/>
    </row>
    <row r="653" spans="6:12" ht="15.75">
      <c r="F653" s="2"/>
      <c r="G653" s="42"/>
      <c r="H653" s="42"/>
      <c r="I653" s="42"/>
      <c r="J653" s="42"/>
      <c r="K653" s="386"/>
      <c r="L653" s="386"/>
    </row>
    <row r="654" spans="6:12" ht="15.75">
      <c r="F654" s="2"/>
      <c r="G654" s="42"/>
      <c r="H654" s="42"/>
      <c r="I654" s="42"/>
      <c r="J654" s="42"/>
      <c r="K654" s="386"/>
      <c r="L654" s="386"/>
    </row>
    <row r="655" spans="6:12" ht="15.75">
      <c r="F655" s="2"/>
      <c r="G655" s="42"/>
      <c r="H655" s="42"/>
      <c r="I655" s="42"/>
      <c r="J655" s="42"/>
      <c r="K655" s="386"/>
      <c r="L655" s="386"/>
    </row>
    <row r="656" spans="6:12" ht="15.75">
      <c r="F656" s="2"/>
      <c r="G656" s="42"/>
      <c r="H656" s="42"/>
      <c r="I656" s="42"/>
      <c r="J656" s="42"/>
      <c r="K656" s="386"/>
      <c r="L656" s="386"/>
    </row>
    <row r="657" spans="6:12" ht="15.75">
      <c r="F657" s="2"/>
      <c r="G657" s="42"/>
      <c r="H657" s="42"/>
      <c r="I657" s="42"/>
      <c r="J657" s="42"/>
      <c r="K657" s="386"/>
      <c r="L657" s="386"/>
    </row>
    <row r="658" spans="6:12" ht="15.75">
      <c r="F658" s="2"/>
      <c r="G658" s="42"/>
      <c r="H658" s="42"/>
      <c r="I658" s="42"/>
      <c r="J658" s="42"/>
      <c r="K658" s="386"/>
      <c r="L658" s="386"/>
    </row>
    <row r="659" spans="6:12" ht="15.75">
      <c r="F659" s="2"/>
      <c r="G659" s="42"/>
      <c r="H659" s="42"/>
      <c r="I659" s="42"/>
      <c r="J659" s="42"/>
      <c r="K659" s="386"/>
      <c r="L659" s="386"/>
    </row>
    <row r="660" spans="6:12" ht="15.75">
      <c r="F660" s="2"/>
      <c r="G660" s="42"/>
      <c r="H660" s="42"/>
      <c r="I660" s="42"/>
      <c r="J660" s="42"/>
      <c r="K660" s="386"/>
      <c r="L660" s="386"/>
    </row>
    <row r="661" spans="6:12" ht="15.75">
      <c r="F661" s="2"/>
      <c r="G661" s="42"/>
      <c r="H661" s="42"/>
      <c r="I661" s="42"/>
      <c r="J661" s="42"/>
      <c r="K661" s="386"/>
      <c r="L661" s="386"/>
    </row>
    <row r="662" spans="6:12" ht="15.75">
      <c r="F662" s="2"/>
      <c r="G662" s="42"/>
      <c r="H662" s="42"/>
      <c r="I662" s="42"/>
      <c r="J662" s="42"/>
      <c r="K662" s="386"/>
      <c r="L662" s="386"/>
    </row>
    <row r="663" spans="6:12" ht="15.75">
      <c r="F663" s="2"/>
      <c r="G663" s="42"/>
      <c r="H663" s="42"/>
      <c r="I663" s="42"/>
      <c r="J663" s="42"/>
      <c r="K663" s="386"/>
      <c r="L663" s="386"/>
    </row>
    <row r="664" spans="6:12" ht="15.75">
      <c r="F664" s="2"/>
      <c r="G664" s="42"/>
      <c r="H664" s="42"/>
      <c r="I664" s="42"/>
      <c r="J664" s="42"/>
      <c r="K664" s="386"/>
      <c r="L664" s="386"/>
    </row>
    <row r="665" spans="6:12" ht="15.75">
      <c r="F665" s="2"/>
      <c r="G665" s="42"/>
      <c r="H665" s="42"/>
      <c r="I665" s="42"/>
      <c r="J665" s="42"/>
      <c r="K665" s="386"/>
      <c r="L665" s="386"/>
    </row>
    <row r="666" spans="6:12" ht="15.75">
      <c r="F666" s="2"/>
      <c r="G666" s="42"/>
      <c r="H666" s="42"/>
      <c r="I666" s="42"/>
      <c r="J666" s="42"/>
      <c r="K666" s="386"/>
      <c r="L666" s="386"/>
    </row>
    <row r="667" spans="6:12" ht="15.75">
      <c r="F667" s="2"/>
      <c r="G667" s="42"/>
      <c r="H667" s="42"/>
      <c r="I667" s="42"/>
      <c r="J667" s="42"/>
      <c r="K667" s="386"/>
      <c r="L667" s="386"/>
    </row>
    <row r="668" spans="6:12" ht="15.75">
      <c r="F668" s="2"/>
      <c r="G668" s="42"/>
      <c r="H668" s="42"/>
      <c r="I668" s="42"/>
      <c r="J668" s="42"/>
      <c r="K668" s="386"/>
      <c r="L668" s="386"/>
    </row>
    <row r="669" spans="6:12" ht="15.75">
      <c r="F669" s="2"/>
      <c r="G669" s="42"/>
      <c r="H669" s="42"/>
      <c r="I669" s="42"/>
      <c r="J669" s="42"/>
      <c r="K669" s="386"/>
      <c r="L669" s="386"/>
    </row>
    <row r="670" spans="6:12" ht="15.75">
      <c r="F670" s="2"/>
      <c r="G670" s="42"/>
      <c r="H670" s="42"/>
      <c r="I670" s="42"/>
      <c r="J670" s="42"/>
      <c r="K670" s="386"/>
      <c r="L670" s="386"/>
    </row>
    <row r="671" spans="6:12" ht="15.75">
      <c r="F671" s="2"/>
      <c r="G671" s="42"/>
      <c r="H671" s="42"/>
      <c r="I671" s="42"/>
      <c r="J671" s="42"/>
      <c r="K671" s="386"/>
      <c r="L671" s="386"/>
    </row>
    <row r="672" spans="6:12" ht="15.75">
      <c r="F672" s="2"/>
      <c r="G672" s="42"/>
      <c r="H672" s="42"/>
      <c r="I672" s="42"/>
      <c r="J672" s="42"/>
      <c r="K672" s="386"/>
      <c r="L672" s="386"/>
    </row>
    <row r="673" spans="6:12" ht="15.75">
      <c r="F673" s="2"/>
      <c r="G673" s="42"/>
      <c r="H673" s="42"/>
      <c r="I673" s="42"/>
      <c r="J673" s="42"/>
      <c r="K673" s="386"/>
      <c r="L673" s="386"/>
    </row>
    <row r="674" spans="6:12" ht="15.75">
      <c r="F674" s="2"/>
      <c r="G674" s="42"/>
      <c r="H674" s="42"/>
      <c r="I674" s="42"/>
      <c r="J674" s="42"/>
      <c r="K674" s="386"/>
      <c r="L674" s="386"/>
    </row>
    <row r="675" spans="6:12" ht="15.75">
      <c r="F675" s="2"/>
      <c r="G675" s="42"/>
      <c r="H675" s="42"/>
      <c r="I675" s="42"/>
      <c r="J675" s="42"/>
      <c r="K675" s="386"/>
      <c r="L675" s="386"/>
    </row>
    <row r="676" spans="6:12" ht="15.75">
      <c r="F676" s="2"/>
      <c r="G676" s="42"/>
      <c r="H676" s="42"/>
      <c r="I676" s="42"/>
      <c r="J676" s="42"/>
      <c r="K676" s="386"/>
      <c r="L676" s="386"/>
    </row>
    <row r="677" spans="6:12" ht="15.75">
      <c r="F677" s="2"/>
      <c r="G677" s="42"/>
      <c r="H677" s="42"/>
      <c r="I677" s="42"/>
      <c r="J677" s="42"/>
      <c r="K677" s="386"/>
      <c r="L677" s="386"/>
    </row>
    <row r="678" spans="6:12" ht="15.75">
      <c r="F678" s="2"/>
      <c r="G678" s="42"/>
      <c r="H678" s="42"/>
      <c r="I678" s="42"/>
      <c r="J678" s="42"/>
      <c r="K678" s="386"/>
      <c r="L678" s="386"/>
    </row>
    <row r="679" spans="6:12" ht="15.75">
      <c r="F679" s="2"/>
      <c r="G679" s="42"/>
      <c r="H679" s="42"/>
      <c r="I679" s="42"/>
      <c r="J679" s="42"/>
      <c r="K679" s="386"/>
      <c r="L679" s="386"/>
    </row>
    <row r="680" spans="6:12" ht="15.75">
      <c r="F680" s="2"/>
      <c r="G680" s="42"/>
      <c r="H680" s="42"/>
      <c r="I680" s="42"/>
      <c r="J680" s="42"/>
      <c r="K680" s="386"/>
      <c r="L680" s="386"/>
    </row>
    <row r="681" spans="6:12" ht="15.75">
      <c r="F681" s="2"/>
      <c r="G681" s="42"/>
      <c r="H681" s="42"/>
      <c r="I681" s="42"/>
      <c r="J681" s="42"/>
      <c r="K681" s="386"/>
      <c r="L681" s="386"/>
    </row>
    <row r="682" spans="6:12" ht="15.75">
      <c r="F682" s="2"/>
      <c r="G682" s="42"/>
      <c r="H682" s="42"/>
      <c r="I682" s="42"/>
      <c r="J682" s="42"/>
      <c r="K682" s="386"/>
      <c r="L682" s="386"/>
    </row>
    <row r="683" spans="6:12" ht="15.75">
      <c r="F683" s="2"/>
      <c r="G683" s="42"/>
      <c r="H683" s="42"/>
      <c r="I683" s="42"/>
      <c r="J683" s="42"/>
      <c r="K683" s="386"/>
      <c r="L683" s="386"/>
    </row>
    <row r="684" spans="6:12" ht="15.75">
      <c r="F684" s="2"/>
      <c r="G684" s="42"/>
      <c r="H684" s="42"/>
      <c r="I684" s="42"/>
      <c r="J684" s="42"/>
      <c r="K684" s="386"/>
      <c r="L684" s="386"/>
    </row>
    <row r="685" spans="6:12" ht="15.75">
      <c r="F685" s="2"/>
      <c r="G685" s="42"/>
      <c r="H685" s="42"/>
      <c r="I685" s="42"/>
      <c r="J685" s="42"/>
      <c r="K685" s="386"/>
      <c r="L685" s="386"/>
    </row>
    <row r="686" spans="6:12" ht="15.75">
      <c r="F686" s="2"/>
      <c r="G686" s="42"/>
      <c r="H686" s="42"/>
      <c r="I686" s="42"/>
      <c r="J686" s="42"/>
      <c r="K686" s="386"/>
      <c r="L686" s="386"/>
    </row>
    <row r="687" spans="6:12" ht="15.75">
      <c r="F687" s="2"/>
      <c r="G687" s="42"/>
      <c r="H687" s="42"/>
      <c r="I687" s="42"/>
      <c r="J687" s="42"/>
      <c r="K687" s="386"/>
      <c r="L687" s="386"/>
    </row>
    <row r="688" spans="6:12" ht="15.75">
      <c r="F688" s="2"/>
      <c r="G688" s="42"/>
      <c r="H688" s="42"/>
      <c r="I688" s="42"/>
      <c r="J688" s="42"/>
      <c r="K688" s="386"/>
      <c r="L688" s="386"/>
    </row>
    <row r="689" spans="6:12" ht="15.75">
      <c r="F689" s="2"/>
      <c r="G689" s="42"/>
      <c r="H689" s="42"/>
      <c r="I689" s="42"/>
      <c r="J689" s="42"/>
      <c r="K689" s="386"/>
      <c r="L689" s="386"/>
    </row>
    <row r="690" spans="6:12" ht="15.75">
      <c r="F690" s="2"/>
      <c r="G690" s="42"/>
      <c r="H690" s="42"/>
      <c r="I690" s="42"/>
      <c r="J690" s="42"/>
      <c r="K690" s="386"/>
      <c r="L690" s="386"/>
    </row>
    <row r="691" spans="6:12" ht="15.75">
      <c r="F691" s="2"/>
      <c r="G691" s="42"/>
      <c r="H691" s="42"/>
      <c r="I691" s="42"/>
      <c r="J691" s="42"/>
      <c r="K691" s="386"/>
      <c r="L691" s="386"/>
    </row>
    <row r="692" spans="6:12" ht="15.75">
      <c r="F692" s="2"/>
      <c r="G692" s="42"/>
      <c r="H692" s="42"/>
      <c r="I692" s="42"/>
      <c r="J692" s="42"/>
      <c r="K692" s="386"/>
      <c r="L692" s="386"/>
    </row>
    <row r="693" spans="6:12" ht="15.75">
      <c r="F693" s="2"/>
      <c r="G693" s="42"/>
      <c r="H693" s="42"/>
      <c r="I693" s="42"/>
      <c r="J693" s="42"/>
      <c r="K693" s="386"/>
      <c r="L693" s="386"/>
    </row>
    <row r="694" spans="6:12" ht="15.75">
      <c r="F694" s="2"/>
      <c r="G694" s="42"/>
      <c r="H694" s="42"/>
      <c r="I694" s="42"/>
      <c r="J694" s="42"/>
      <c r="K694" s="386"/>
      <c r="L694" s="386"/>
    </row>
    <row r="695" spans="6:12" ht="15.75">
      <c r="F695" s="2"/>
      <c r="G695" s="42"/>
      <c r="H695" s="42"/>
      <c r="I695" s="42"/>
      <c r="J695" s="42"/>
      <c r="K695" s="386"/>
      <c r="L695" s="386"/>
    </row>
    <row r="696" spans="6:12" ht="15.75">
      <c r="F696" s="2"/>
      <c r="G696" s="42"/>
      <c r="H696" s="42"/>
      <c r="I696" s="42"/>
      <c r="J696" s="42"/>
      <c r="K696" s="386"/>
      <c r="L696" s="386"/>
    </row>
    <row r="697" spans="6:12" ht="15.75">
      <c r="F697" s="2"/>
      <c r="G697" s="42"/>
      <c r="H697" s="42"/>
      <c r="I697" s="42"/>
      <c r="J697" s="42"/>
      <c r="K697" s="386"/>
      <c r="L697" s="386"/>
    </row>
    <row r="698" spans="6:12" ht="15.75">
      <c r="F698" s="2"/>
      <c r="G698" s="42"/>
      <c r="H698" s="42"/>
      <c r="I698" s="42"/>
      <c r="J698" s="42"/>
      <c r="K698" s="386"/>
      <c r="L698" s="386"/>
    </row>
    <row r="699" spans="6:12" ht="15.75">
      <c r="F699" s="2"/>
      <c r="G699" s="42"/>
      <c r="H699" s="42"/>
      <c r="I699" s="42"/>
      <c r="J699" s="42"/>
      <c r="K699" s="386"/>
      <c r="L699" s="386"/>
    </row>
    <row r="700" spans="6:12" ht="15.75">
      <c r="F700" s="2"/>
      <c r="G700" s="42"/>
      <c r="H700" s="42"/>
      <c r="I700" s="42"/>
      <c r="J700" s="42"/>
      <c r="K700" s="386"/>
      <c r="L700" s="386"/>
    </row>
    <row r="701" spans="6:12" ht="15.75">
      <c r="F701" s="2"/>
      <c r="G701" s="42"/>
      <c r="H701" s="42"/>
      <c r="I701" s="42"/>
      <c r="J701" s="42"/>
      <c r="K701" s="386"/>
      <c r="L701" s="386"/>
    </row>
    <row r="702" spans="6:12" ht="15.75">
      <c r="F702" s="2"/>
      <c r="G702" s="42"/>
      <c r="H702" s="42"/>
      <c r="I702" s="42"/>
      <c r="J702" s="42"/>
      <c r="K702" s="386"/>
      <c r="L702" s="386"/>
    </row>
    <row r="703" spans="6:12" ht="15.75">
      <c r="F703" s="2"/>
      <c r="G703" s="42"/>
      <c r="H703" s="42"/>
      <c r="I703" s="42"/>
      <c r="J703" s="42"/>
      <c r="K703" s="386"/>
      <c r="L703" s="386"/>
    </row>
    <row r="704" spans="6:12" ht="15.75">
      <c r="F704" s="2"/>
      <c r="G704" s="42"/>
      <c r="H704" s="42"/>
      <c r="I704" s="42"/>
      <c r="J704" s="42"/>
      <c r="K704" s="386"/>
      <c r="L704" s="386"/>
    </row>
    <row r="705" spans="6:12" ht="15.75">
      <c r="F705" s="2"/>
      <c r="G705" s="42"/>
      <c r="H705" s="42"/>
      <c r="I705" s="42"/>
      <c r="J705" s="42"/>
      <c r="K705" s="386"/>
      <c r="L705" s="386"/>
    </row>
    <row r="706" spans="6:12" ht="15.75">
      <c r="F706" s="2"/>
      <c r="G706" s="42"/>
      <c r="H706" s="42"/>
      <c r="I706" s="42"/>
      <c r="J706" s="42"/>
      <c r="K706" s="386"/>
      <c r="L706" s="386"/>
    </row>
    <row r="707" spans="6:12" ht="15.75">
      <c r="F707" s="2"/>
      <c r="G707" s="42"/>
      <c r="H707" s="42"/>
      <c r="I707" s="42"/>
      <c r="J707" s="42"/>
      <c r="K707" s="386"/>
      <c r="L707" s="386"/>
    </row>
    <row r="708" spans="6:12" ht="15.75">
      <c r="F708" s="2"/>
      <c r="G708" s="42"/>
      <c r="H708" s="42"/>
      <c r="I708" s="42"/>
      <c r="J708" s="42"/>
      <c r="K708" s="386"/>
      <c r="L708" s="386"/>
    </row>
    <row r="709" spans="6:12" ht="15.75">
      <c r="F709" s="2"/>
      <c r="G709" s="42"/>
      <c r="H709" s="42"/>
      <c r="I709" s="42"/>
      <c r="J709" s="42"/>
      <c r="K709" s="386"/>
      <c r="L709" s="386"/>
    </row>
    <row r="710" spans="6:12" ht="15.75">
      <c r="F710" s="2"/>
      <c r="G710" s="42"/>
      <c r="H710" s="42"/>
      <c r="I710" s="42"/>
      <c r="J710" s="42"/>
      <c r="K710" s="386"/>
      <c r="L710" s="386"/>
    </row>
    <row r="711" spans="6:12" ht="15.75">
      <c r="F711" s="2"/>
      <c r="G711" s="42"/>
      <c r="H711" s="42"/>
      <c r="I711" s="42"/>
      <c r="J711" s="42"/>
      <c r="K711" s="386"/>
      <c r="L711" s="386"/>
    </row>
    <row r="712" spans="6:12" ht="15.75">
      <c r="F712" s="2"/>
      <c r="G712" s="42"/>
      <c r="H712" s="42"/>
      <c r="I712" s="42"/>
      <c r="J712" s="42"/>
      <c r="K712" s="386"/>
      <c r="L712" s="386"/>
    </row>
    <row r="713" spans="6:12" ht="15.75">
      <c r="F713" s="2"/>
      <c r="G713" s="42"/>
      <c r="H713" s="42"/>
      <c r="I713" s="42"/>
      <c r="J713" s="42"/>
      <c r="K713" s="386"/>
      <c r="L713" s="386"/>
    </row>
    <row r="714" spans="6:12" ht="15.75">
      <c r="F714" s="2"/>
      <c r="G714" s="42"/>
      <c r="H714" s="42"/>
      <c r="I714" s="42"/>
      <c r="J714" s="42"/>
      <c r="K714" s="386"/>
      <c r="L714" s="386"/>
    </row>
    <row r="715" spans="6:12" ht="15.75">
      <c r="F715" s="2"/>
      <c r="G715" s="42"/>
      <c r="H715" s="42"/>
      <c r="I715" s="42"/>
      <c r="J715" s="42"/>
      <c r="K715" s="386"/>
      <c r="L715" s="386"/>
    </row>
    <row r="716" spans="6:12" ht="15.75">
      <c r="F716" s="2"/>
      <c r="G716" s="42"/>
      <c r="H716" s="42"/>
      <c r="I716" s="42"/>
      <c r="J716" s="42"/>
      <c r="K716" s="386"/>
      <c r="L716" s="386"/>
    </row>
    <row r="717" spans="6:12" ht="15.75">
      <c r="F717" s="2"/>
      <c r="G717" s="42"/>
      <c r="H717" s="42"/>
      <c r="I717" s="42"/>
      <c r="J717" s="42"/>
      <c r="K717" s="386"/>
      <c r="L717" s="386"/>
    </row>
    <row r="718" spans="6:12" ht="15.75">
      <c r="F718" s="2"/>
      <c r="G718" s="42"/>
      <c r="H718" s="42"/>
      <c r="I718" s="42"/>
      <c r="J718" s="42"/>
      <c r="K718" s="386"/>
      <c r="L718" s="386"/>
    </row>
    <row r="719" spans="6:12" ht="15.75">
      <c r="F719" s="2"/>
      <c r="G719" s="42"/>
      <c r="H719" s="42"/>
      <c r="I719" s="42"/>
      <c r="J719" s="42"/>
      <c r="K719" s="386"/>
      <c r="L719" s="386"/>
    </row>
    <row r="720" spans="6:12" ht="15.75">
      <c r="F720" s="2"/>
      <c r="G720" s="42"/>
      <c r="H720" s="42"/>
      <c r="I720" s="42"/>
      <c r="J720" s="42"/>
      <c r="K720" s="386"/>
      <c r="L720" s="386"/>
    </row>
    <row r="721" spans="6:12" ht="15.75">
      <c r="F721" s="2"/>
      <c r="G721" s="42"/>
      <c r="H721" s="42"/>
      <c r="I721" s="42"/>
      <c r="J721" s="42"/>
      <c r="K721" s="386"/>
      <c r="L721" s="386"/>
    </row>
    <row r="722" spans="6:12" ht="15.75">
      <c r="F722" s="2"/>
      <c r="G722" s="42"/>
      <c r="H722" s="42"/>
      <c r="I722" s="42"/>
      <c r="J722" s="42"/>
      <c r="K722" s="386"/>
      <c r="L722" s="386"/>
    </row>
    <row r="723" spans="6:12" ht="15.75">
      <c r="F723" s="2"/>
      <c r="G723" s="42"/>
      <c r="H723" s="42"/>
      <c r="I723" s="42"/>
      <c r="J723" s="42"/>
      <c r="K723" s="386"/>
      <c r="L723" s="386"/>
    </row>
  </sheetData>
  <sheetProtection/>
  <mergeCells count="57">
    <mergeCell ref="C414:D414"/>
    <mergeCell ref="C415:D415"/>
    <mergeCell ref="C416:D416"/>
    <mergeCell ref="C417:D417"/>
    <mergeCell ref="N1:Q1"/>
    <mergeCell ref="J1:M1"/>
    <mergeCell ref="C408:D408"/>
    <mergeCell ref="C409:D409"/>
    <mergeCell ref="C410:D410"/>
    <mergeCell ref="C411:D411"/>
    <mergeCell ref="C396:C398"/>
    <mergeCell ref="C412:D412"/>
    <mergeCell ref="C413:D413"/>
    <mergeCell ref="C399:C400"/>
    <mergeCell ref="C401:C402"/>
    <mergeCell ref="C403:C404"/>
    <mergeCell ref="C405:D405"/>
    <mergeCell ref="C406:D406"/>
    <mergeCell ref="C407:D407"/>
    <mergeCell ref="O374:P374"/>
    <mergeCell ref="C376:C379"/>
    <mergeCell ref="C380:C383"/>
    <mergeCell ref="C384:C389"/>
    <mergeCell ref="C390:C392"/>
    <mergeCell ref="C393:C395"/>
    <mergeCell ref="B351:C351"/>
    <mergeCell ref="B358:C358"/>
    <mergeCell ref="B373:B375"/>
    <mergeCell ref="C373:D375"/>
    <mergeCell ref="E373:F374"/>
    <mergeCell ref="G373:P373"/>
    <mergeCell ref="G374:H374"/>
    <mergeCell ref="I374:J374"/>
    <mergeCell ref="K374:L374"/>
    <mergeCell ref="M374:N374"/>
    <mergeCell ref="B212:C212"/>
    <mergeCell ref="B250:C250"/>
    <mergeCell ref="B262:C262"/>
    <mergeCell ref="B279:C279"/>
    <mergeCell ref="B297:C297"/>
    <mergeCell ref="B349:C349"/>
    <mergeCell ref="B96:C96"/>
    <mergeCell ref="B97:C97"/>
    <mergeCell ref="B155:C155"/>
    <mergeCell ref="B160:C160"/>
    <mergeCell ref="B181:C181"/>
    <mergeCell ref="B192:C192"/>
    <mergeCell ref="B77:C77"/>
    <mergeCell ref="B340:C340"/>
    <mergeCell ref="B317:C317"/>
    <mergeCell ref="C2:K3"/>
    <mergeCell ref="B4:C4"/>
    <mergeCell ref="B6:C6"/>
    <mergeCell ref="B22:C22"/>
    <mergeCell ref="B66:C66"/>
    <mergeCell ref="B72:C72"/>
    <mergeCell ref="B88:C88"/>
  </mergeCells>
  <printOptions/>
  <pageMargins left="0" right="0" top="0.1968503937007874" bottom="0.1968503937007874" header="0" footer="0"/>
  <pageSetup fitToHeight="0" fitToWidth="1" horizontalDpi="600" verticalDpi="600" orientation="landscape" scale="43" r:id="rId1"/>
  <rowBreaks count="1" manualBreakCount="1">
    <brk id="370" min="1" max="19" man="1"/>
  </rowBreaks>
</worksheet>
</file>

<file path=xl/worksheets/sheet7.xml><?xml version="1.0" encoding="utf-8"?>
<worksheet xmlns="http://schemas.openxmlformats.org/spreadsheetml/2006/main" xmlns:r="http://schemas.openxmlformats.org/officeDocument/2006/relationships">
  <sheetPr>
    <pageSetUpPr fitToPage="1"/>
  </sheetPr>
  <dimension ref="A1:Q21"/>
  <sheetViews>
    <sheetView view="pageBreakPreview" zoomScale="60" zoomScaleNormal="75" zoomScalePageLayoutView="0" workbookViewId="0" topLeftCell="A1">
      <selection activeCell="J39" sqref="J38:J39"/>
    </sheetView>
  </sheetViews>
  <sheetFormatPr defaultColWidth="9.140625" defaultRowHeight="12.75"/>
  <cols>
    <col min="1" max="1" width="9.140625" style="22" customWidth="1"/>
    <col min="2" max="2" width="14.8515625" style="22" customWidth="1"/>
    <col min="3" max="3" width="31.00390625" style="22" customWidth="1"/>
    <col min="4" max="4" width="30.28125" style="22" customWidth="1"/>
    <col min="5" max="5" width="28.421875" style="22" customWidth="1"/>
    <col min="6" max="6" width="15.7109375" style="22" customWidth="1"/>
    <col min="7" max="7" width="2.8515625" style="22" customWidth="1"/>
    <col min="8" max="8" width="40.140625" style="22" customWidth="1"/>
    <col min="9" max="9" width="37.8515625" style="22" customWidth="1"/>
    <col min="10" max="10" width="17.28125" style="22" customWidth="1"/>
    <col min="11" max="11" width="16.7109375" style="22" customWidth="1"/>
    <col min="12" max="12" width="14.8515625" style="22" customWidth="1"/>
    <col min="13" max="13" width="17.57421875" style="22" customWidth="1"/>
    <col min="14" max="14" width="21.28125" style="22" customWidth="1"/>
    <col min="15" max="15" width="18.8515625" style="22" customWidth="1"/>
    <col min="16" max="16" width="15.57421875" style="22" customWidth="1"/>
    <col min="17" max="16384" width="9.140625" style="22" customWidth="1"/>
  </cols>
  <sheetData>
    <row r="1" spans="1:9" ht="18.75">
      <c r="A1" s="94"/>
      <c r="B1" s="94"/>
      <c r="C1" s="94"/>
      <c r="D1" s="94"/>
      <c r="E1" s="94"/>
      <c r="F1" s="94"/>
      <c r="G1" s="94"/>
      <c r="H1" s="94"/>
      <c r="I1" s="94"/>
    </row>
    <row r="2" spans="1:9" ht="17.25" customHeight="1">
      <c r="A2" s="94"/>
      <c r="B2" s="94"/>
      <c r="C2" s="94"/>
      <c r="D2" s="94"/>
      <c r="E2" s="94"/>
      <c r="F2" s="94"/>
      <c r="G2" s="94"/>
      <c r="H2" s="616" t="s">
        <v>11</v>
      </c>
      <c r="I2" s="94"/>
    </row>
    <row r="3" spans="1:9" ht="18.75">
      <c r="A3" s="94"/>
      <c r="B3" s="601" t="s">
        <v>869</v>
      </c>
      <c r="C3" s="94"/>
      <c r="D3" s="94"/>
      <c r="E3" s="94"/>
      <c r="F3" s="94"/>
      <c r="G3" s="94"/>
      <c r="H3" s="94"/>
      <c r="I3" s="94"/>
    </row>
    <row r="4" spans="1:9" ht="18.75">
      <c r="A4" s="94"/>
      <c r="B4" s="601" t="s">
        <v>862</v>
      </c>
      <c r="C4" s="94"/>
      <c r="D4" s="94"/>
      <c r="E4" s="94"/>
      <c r="F4" s="94"/>
      <c r="G4" s="94"/>
      <c r="H4" s="94"/>
      <c r="I4" s="94"/>
    </row>
    <row r="5" spans="1:9" ht="18.75">
      <c r="A5" s="94"/>
      <c r="B5" s="94"/>
      <c r="C5" s="94"/>
      <c r="D5" s="94"/>
      <c r="E5" s="94"/>
      <c r="F5" s="94"/>
      <c r="G5" s="94"/>
      <c r="H5" s="94"/>
      <c r="I5" s="94"/>
    </row>
    <row r="6" spans="1:9" ht="18.75">
      <c r="A6" s="94"/>
      <c r="B6" s="94"/>
      <c r="C6" s="94"/>
      <c r="D6" s="94"/>
      <c r="E6" s="94"/>
      <c r="F6" s="94"/>
      <c r="G6" s="94"/>
      <c r="H6" s="94"/>
      <c r="I6" s="94"/>
    </row>
    <row r="7" spans="1:16" ht="18.75">
      <c r="A7" s="94"/>
      <c r="B7" s="718" t="s">
        <v>57</v>
      </c>
      <c r="C7" s="718"/>
      <c r="D7" s="718"/>
      <c r="E7" s="718"/>
      <c r="F7" s="718"/>
      <c r="G7" s="718"/>
      <c r="H7" s="718"/>
      <c r="I7" s="618"/>
      <c r="J7" s="25"/>
      <c r="K7" s="25"/>
      <c r="L7" s="25"/>
      <c r="M7" s="25"/>
      <c r="N7" s="25"/>
      <c r="O7" s="25"/>
      <c r="P7" s="25"/>
    </row>
    <row r="8" spans="1:16" ht="18.75">
      <c r="A8" s="94"/>
      <c r="B8" s="94"/>
      <c r="C8" s="617"/>
      <c r="D8" s="617"/>
      <c r="E8" s="617"/>
      <c r="F8" s="617"/>
      <c r="G8" s="617"/>
      <c r="H8" s="617"/>
      <c r="I8" s="617"/>
      <c r="J8" s="24"/>
      <c r="K8" s="24"/>
      <c r="L8" s="24"/>
      <c r="M8" s="24"/>
      <c r="N8" s="24"/>
      <c r="O8" s="24"/>
      <c r="P8" s="24"/>
    </row>
    <row r="9" spans="1:16" ht="18.75">
      <c r="A9" s="94"/>
      <c r="B9" s="94"/>
      <c r="C9" s="617"/>
      <c r="D9" s="617"/>
      <c r="E9" s="617"/>
      <c r="F9" s="617"/>
      <c r="G9" s="617"/>
      <c r="H9" s="617"/>
      <c r="I9" s="619"/>
      <c r="J9" s="24"/>
      <c r="K9" s="24"/>
      <c r="L9" s="24"/>
      <c r="M9" s="24"/>
      <c r="N9" s="24"/>
      <c r="O9" s="24"/>
      <c r="P9" s="24"/>
    </row>
    <row r="10" spans="1:9" ht="18.75">
      <c r="A10" s="94"/>
      <c r="B10" s="94"/>
      <c r="C10" s="94"/>
      <c r="D10" s="94"/>
      <c r="E10" s="94"/>
      <c r="F10" s="94"/>
      <c r="G10" s="94"/>
      <c r="H10" s="94"/>
      <c r="I10" s="94"/>
    </row>
    <row r="11" spans="2:17" s="94" customFormat="1" ht="46.5" customHeight="1">
      <c r="B11" s="726" t="s">
        <v>7</v>
      </c>
      <c r="C11" s="727"/>
      <c r="D11" s="719" t="s">
        <v>1399</v>
      </c>
      <c r="E11" s="719" t="s">
        <v>1475</v>
      </c>
      <c r="F11" s="721" t="s">
        <v>1401</v>
      </c>
      <c r="G11" s="722"/>
      <c r="H11" s="719" t="s">
        <v>134</v>
      </c>
      <c r="Q11" s="95"/>
    </row>
    <row r="12" spans="2:8" s="94" customFormat="1" ht="23.25" customHeight="1">
      <c r="B12" s="726"/>
      <c r="C12" s="727"/>
      <c r="D12" s="720"/>
      <c r="E12" s="720"/>
      <c r="F12" s="723"/>
      <c r="G12" s="724"/>
      <c r="H12" s="720"/>
    </row>
    <row r="13" spans="2:10" s="94" customFormat="1" ht="64.5" customHeight="1">
      <c r="B13" s="96" t="s">
        <v>68</v>
      </c>
      <c r="C13" s="97" t="s">
        <v>54</v>
      </c>
      <c r="D13" s="614"/>
      <c r="E13" s="615"/>
      <c r="F13" s="725"/>
      <c r="G13" s="725"/>
      <c r="H13" s="614"/>
      <c r="J13" s="98"/>
    </row>
    <row r="14" spans="2:10" s="94" customFormat="1" ht="64.5" customHeight="1">
      <c r="B14" s="96" t="s">
        <v>69</v>
      </c>
      <c r="C14" s="97" t="s">
        <v>55</v>
      </c>
      <c r="D14" s="614"/>
      <c r="E14" s="615"/>
      <c r="F14" s="725"/>
      <c r="G14" s="725"/>
      <c r="H14" s="614"/>
      <c r="J14" s="98"/>
    </row>
    <row r="15" spans="2:8" s="94" customFormat="1" ht="65.25" customHeight="1">
      <c r="B15" s="96" t="s">
        <v>70</v>
      </c>
      <c r="C15" s="97" t="s">
        <v>56</v>
      </c>
      <c r="D15" s="614"/>
      <c r="E15" s="615"/>
      <c r="F15" s="717"/>
      <c r="G15" s="717"/>
      <c r="H15" s="614"/>
    </row>
    <row r="16" s="94" customFormat="1" ht="18.75"/>
    <row r="17" s="94" customFormat="1" ht="18.75"/>
    <row r="18" spans="2:7" s="94" customFormat="1" ht="18.75">
      <c r="B18" s="94" t="s">
        <v>63</v>
      </c>
      <c r="C18" s="99"/>
      <c r="D18" s="98" t="s">
        <v>64</v>
      </c>
      <c r="G18" s="100" t="s">
        <v>65</v>
      </c>
    </row>
    <row r="19" spans="1:9" ht="18.75">
      <c r="A19" s="94"/>
      <c r="B19" s="94"/>
      <c r="C19" s="94"/>
      <c r="D19" s="94"/>
      <c r="E19" s="94"/>
      <c r="F19" s="94"/>
      <c r="G19" s="94"/>
      <c r="H19" s="94"/>
      <c r="I19" s="94"/>
    </row>
    <row r="20" spans="1:9" ht="18.75">
      <c r="A20" s="94"/>
      <c r="B20" s="94"/>
      <c r="C20" s="94"/>
      <c r="D20" s="94"/>
      <c r="E20" s="94"/>
      <c r="F20" s="94"/>
      <c r="G20" s="94"/>
      <c r="H20" s="94"/>
      <c r="I20" s="94"/>
    </row>
    <row r="21" spans="1:9" ht="47.25" customHeight="1">
      <c r="A21" s="94"/>
      <c r="B21" s="94"/>
      <c r="C21" s="94"/>
      <c r="D21" s="94"/>
      <c r="E21" s="94"/>
      <c r="F21" s="94"/>
      <c r="G21" s="94"/>
      <c r="H21" s="94"/>
      <c r="I21" s="94"/>
    </row>
  </sheetData>
  <sheetProtection/>
  <mergeCells count="10">
    <mergeCell ref="F15:G15"/>
    <mergeCell ref="B7:H7"/>
    <mergeCell ref="H11:H12"/>
    <mergeCell ref="F11:G12"/>
    <mergeCell ref="F13:G13"/>
    <mergeCell ref="F14:G14"/>
    <mergeCell ref="E11:E12"/>
    <mergeCell ref="B11:B12"/>
    <mergeCell ref="D11:D12"/>
    <mergeCell ref="C11:C12"/>
  </mergeCells>
  <printOptions/>
  <pageMargins left="0.75" right="0.75" top="1" bottom="1" header="0.5" footer="0.5"/>
  <pageSetup fitToHeight="1" fitToWidth="1" horizontalDpi="600" verticalDpi="600" orientation="landscape" scale="58" r:id="rId1"/>
</worksheet>
</file>

<file path=xl/worksheets/sheet8.xml><?xml version="1.0" encoding="utf-8"?>
<worksheet xmlns="http://schemas.openxmlformats.org/spreadsheetml/2006/main" xmlns:r="http://schemas.openxmlformats.org/officeDocument/2006/relationships">
  <sheetPr>
    <tabColor rgb="FFFFFF00"/>
  </sheetPr>
  <dimension ref="B2:Q22"/>
  <sheetViews>
    <sheetView view="pageBreakPreview" zoomScale="75" zoomScaleSheetLayoutView="75" zoomScalePageLayoutView="0" workbookViewId="0" topLeftCell="A1">
      <selection activeCell="B2" sqref="B2:H23"/>
    </sheetView>
  </sheetViews>
  <sheetFormatPr defaultColWidth="9.140625" defaultRowHeight="12.75"/>
  <cols>
    <col min="1" max="1" width="5.57421875" style="2" customWidth="1"/>
    <col min="2" max="2" width="7.28125" style="2" customWidth="1"/>
    <col min="3" max="3" width="41.00390625" style="2" customWidth="1"/>
    <col min="4" max="4" width="31.8515625" style="2" customWidth="1"/>
    <col min="5" max="7" width="20.7109375" style="2" customWidth="1"/>
    <col min="8" max="8" width="35.57421875" style="2" customWidth="1"/>
    <col min="9" max="9" width="29.8515625" style="2" customWidth="1"/>
    <col min="10" max="10" width="29.140625" style="2" customWidth="1"/>
    <col min="11" max="11" width="33.0039062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2" s="15" customFormat="1" ht="27.75" customHeight="1">
      <c r="H2" s="15" t="s">
        <v>12</v>
      </c>
    </row>
    <row r="3" spans="2:15" ht="15.75">
      <c r="B3" s="13" t="s">
        <v>869</v>
      </c>
      <c r="C3" s="22"/>
      <c r="D3" s="22"/>
      <c r="N3" s="731"/>
      <c r="O3" s="731"/>
    </row>
    <row r="4" spans="2:15" ht="15.75">
      <c r="B4" s="13" t="s">
        <v>862</v>
      </c>
      <c r="C4" s="22"/>
      <c r="D4" s="22"/>
      <c r="N4" s="1"/>
      <c r="O4" s="21" t="s">
        <v>6</v>
      </c>
    </row>
    <row r="5" spans="3:15" ht="15.75">
      <c r="C5" s="33"/>
      <c r="D5" s="33"/>
      <c r="E5" s="33"/>
      <c r="F5" s="33"/>
      <c r="G5" s="33"/>
      <c r="H5" s="33"/>
      <c r="I5" s="33"/>
      <c r="J5" s="33"/>
      <c r="K5" s="33"/>
      <c r="L5" s="33"/>
      <c r="M5" s="33"/>
      <c r="N5" s="33"/>
      <c r="O5" s="33"/>
    </row>
    <row r="6" spans="2:15" ht="15.75">
      <c r="B6" s="728" t="s">
        <v>60</v>
      </c>
      <c r="C6" s="728"/>
      <c r="D6" s="728"/>
      <c r="E6" s="728"/>
      <c r="F6" s="728"/>
      <c r="G6" s="728"/>
      <c r="H6" s="728"/>
      <c r="I6" s="33"/>
      <c r="J6" s="33"/>
      <c r="K6" s="33"/>
      <c r="L6" s="33"/>
      <c r="M6" s="33"/>
      <c r="N6" s="33"/>
      <c r="O6" s="33"/>
    </row>
    <row r="7" spans="3:15" ht="15.75">
      <c r="C7" s="16"/>
      <c r="D7" s="16"/>
      <c r="E7" s="16"/>
      <c r="F7" s="16"/>
      <c r="G7" s="16"/>
      <c r="H7" s="16"/>
      <c r="I7" s="16"/>
      <c r="J7" s="16"/>
      <c r="K7" s="16"/>
      <c r="L7" s="16"/>
      <c r="M7" s="16"/>
      <c r="N7" s="16"/>
      <c r="O7" s="16"/>
    </row>
    <row r="8" spans="3:15" ht="15.75">
      <c r="C8" s="35"/>
      <c r="D8" s="35"/>
      <c r="F8" s="35"/>
      <c r="G8" s="35"/>
      <c r="H8" s="36" t="s">
        <v>4</v>
      </c>
      <c r="J8" s="35"/>
      <c r="K8" s="35"/>
      <c r="L8" s="35"/>
      <c r="M8" s="35"/>
      <c r="N8" s="35"/>
      <c r="O8" s="35"/>
    </row>
    <row r="9" spans="2:17" s="40" customFormat="1" ht="42" customHeight="1">
      <c r="B9" s="732" t="s">
        <v>7</v>
      </c>
      <c r="C9" s="729" t="s">
        <v>8</v>
      </c>
      <c r="D9" s="669" t="s">
        <v>1399</v>
      </c>
      <c r="E9" s="669" t="s">
        <v>1400</v>
      </c>
      <c r="F9" s="670" t="s">
        <v>1486</v>
      </c>
      <c r="G9" s="733"/>
      <c r="H9" s="734" t="s">
        <v>1485</v>
      </c>
      <c r="I9" s="37"/>
      <c r="J9" s="37"/>
      <c r="K9" s="37"/>
      <c r="L9" s="37"/>
      <c r="M9" s="37"/>
      <c r="N9" s="38"/>
      <c r="O9" s="39"/>
      <c r="P9" s="39"/>
      <c r="Q9" s="39"/>
    </row>
    <row r="10" spans="2:17" s="40" customFormat="1" ht="54" customHeight="1">
      <c r="B10" s="732"/>
      <c r="C10" s="730"/>
      <c r="D10" s="637"/>
      <c r="E10" s="637"/>
      <c r="F10" s="20" t="s">
        <v>1</v>
      </c>
      <c r="G10" s="41" t="s">
        <v>58</v>
      </c>
      <c r="H10" s="734"/>
      <c r="I10" s="39"/>
      <c r="J10" s="39"/>
      <c r="K10" s="39"/>
      <c r="L10" s="39"/>
      <c r="M10" s="39"/>
      <c r="N10" s="39"/>
      <c r="O10" s="39"/>
      <c r="P10" s="39"/>
      <c r="Q10" s="39"/>
    </row>
    <row r="11" spans="2:17" s="12" customFormat="1" ht="45" customHeight="1">
      <c r="B11" s="44" t="s">
        <v>68</v>
      </c>
      <c r="C11" s="34" t="s">
        <v>52</v>
      </c>
      <c r="D11" s="149"/>
      <c r="E11" s="149"/>
      <c r="F11" s="149"/>
      <c r="G11" s="149"/>
      <c r="H11" s="149"/>
      <c r="I11" s="8"/>
      <c r="J11" s="8"/>
      <c r="K11" s="8"/>
      <c r="L11" s="8"/>
      <c r="M11" s="8"/>
      <c r="N11" s="8"/>
      <c r="O11" s="8"/>
      <c r="P11" s="8"/>
      <c r="Q11" s="8"/>
    </row>
    <row r="12" spans="2:17" s="12" customFormat="1" ht="45" customHeight="1">
      <c r="B12" s="44" t="s">
        <v>69</v>
      </c>
      <c r="C12" s="34" t="s">
        <v>53</v>
      </c>
      <c r="D12" s="149"/>
      <c r="E12" s="149"/>
      <c r="F12" s="149"/>
      <c r="G12" s="149"/>
      <c r="H12" s="149"/>
      <c r="I12" s="8"/>
      <c r="J12" s="8"/>
      <c r="K12" s="8"/>
      <c r="L12" s="8"/>
      <c r="M12" s="8"/>
      <c r="N12" s="8"/>
      <c r="O12" s="8"/>
      <c r="P12" s="8"/>
      <c r="Q12" s="8"/>
    </row>
    <row r="13" spans="2:17" s="12" customFormat="1" ht="55.5" customHeight="1">
      <c r="B13" s="44" t="s">
        <v>70</v>
      </c>
      <c r="C13" s="34" t="s">
        <v>48</v>
      </c>
      <c r="D13" s="149"/>
      <c r="E13" s="149"/>
      <c r="F13" s="149"/>
      <c r="G13" s="149"/>
      <c r="H13" s="149"/>
      <c r="I13" s="8"/>
      <c r="J13" s="8"/>
      <c r="K13" s="8"/>
      <c r="L13" s="8"/>
      <c r="M13" s="8"/>
      <c r="N13" s="8"/>
      <c r="O13" s="8"/>
      <c r="P13" s="8"/>
      <c r="Q13" s="8"/>
    </row>
    <row r="14" spans="2:17" s="12" customFormat="1" ht="45" customHeight="1">
      <c r="B14" s="44" t="s">
        <v>71</v>
      </c>
      <c r="C14" s="34" t="s">
        <v>49</v>
      </c>
      <c r="D14" s="149"/>
      <c r="E14" s="149"/>
      <c r="F14" s="149"/>
      <c r="G14" s="149"/>
      <c r="H14" s="149"/>
      <c r="I14" s="8"/>
      <c r="J14" s="8"/>
      <c r="K14" s="8"/>
      <c r="L14" s="8"/>
      <c r="M14" s="8"/>
      <c r="N14" s="8"/>
      <c r="O14" s="8"/>
      <c r="P14" s="8"/>
      <c r="Q14" s="8"/>
    </row>
    <row r="15" spans="2:17" s="12" customFormat="1" ht="45" customHeight="1">
      <c r="B15" s="44" t="s">
        <v>72</v>
      </c>
      <c r="C15" s="34" t="s">
        <v>50</v>
      </c>
      <c r="D15" s="149">
        <v>326250.71</v>
      </c>
      <c r="E15" s="149">
        <v>600000</v>
      </c>
      <c r="F15" s="149">
        <v>200000</v>
      </c>
      <c r="G15" s="149">
        <v>237384</v>
      </c>
      <c r="H15" s="149">
        <f>G15/F15*100</f>
        <v>118.692</v>
      </c>
      <c r="I15" s="8"/>
      <c r="J15" s="8"/>
      <c r="K15" s="8"/>
      <c r="L15" s="8"/>
      <c r="M15" s="8"/>
      <c r="N15" s="8"/>
      <c r="O15" s="8"/>
      <c r="P15" s="8"/>
      <c r="Q15" s="8"/>
    </row>
    <row r="16" spans="2:17" s="12" customFormat="1" ht="46.5" customHeight="1">
      <c r="B16" s="44" t="s">
        <v>73</v>
      </c>
      <c r="C16" s="34" t="s">
        <v>51</v>
      </c>
      <c r="D16" s="149"/>
      <c r="E16" s="149"/>
      <c r="F16" s="149"/>
      <c r="G16" s="149"/>
      <c r="H16" s="149"/>
      <c r="I16" s="8"/>
      <c r="J16" s="8"/>
      <c r="K16" s="8"/>
      <c r="L16" s="8"/>
      <c r="M16" s="8"/>
      <c r="N16" s="8"/>
      <c r="O16" s="8"/>
      <c r="P16" s="8"/>
      <c r="Q16" s="8"/>
    </row>
    <row r="17" spans="2:17" s="12" customFormat="1" ht="46.5" customHeight="1">
      <c r="B17" s="44" t="s">
        <v>74</v>
      </c>
      <c r="C17" s="34" t="s">
        <v>61</v>
      </c>
      <c r="D17" s="149"/>
      <c r="E17" s="149"/>
      <c r="F17" s="149"/>
      <c r="G17" s="149"/>
      <c r="H17" s="149"/>
      <c r="I17" s="8"/>
      <c r="J17" s="8"/>
      <c r="K17" s="8"/>
      <c r="L17" s="8"/>
      <c r="M17" s="8"/>
      <c r="N17" s="8"/>
      <c r="O17" s="8"/>
      <c r="P17" s="8"/>
      <c r="Q17" s="8"/>
    </row>
    <row r="20" spans="2:7" ht="20.25" customHeight="1">
      <c r="B20" s="64" t="s">
        <v>190</v>
      </c>
      <c r="C20" s="67" t="s">
        <v>1497</v>
      </c>
      <c r="D20" s="68" t="s">
        <v>64</v>
      </c>
      <c r="E20" s="67" t="s">
        <v>878</v>
      </c>
      <c r="F20" s="212"/>
      <c r="G20" s="213"/>
    </row>
    <row r="21" spans="3:7" ht="20.25" customHeight="1">
      <c r="C21" s="4"/>
      <c r="D21" s="42"/>
      <c r="E21" s="192"/>
      <c r="F21" s="192"/>
      <c r="G21" s="192"/>
    </row>
    <row r="22" spans="5:7" ht="15.75">
      <c r="E22" s="192"/>
      <c r="F22" s="628" t="s">
        <v>879</v>
      </c>
      <c r="G22" s="628"/>
    </row>
  </sheetData>
  <sheetProtection/>
  <mergeCells count="9">
    <mergeCell ref="F22:G22"/>
    <mergeCell ref="B6:H6"/>
    <mergeCell ref="C9:C10"/>
    <mergeCell ref="D9:D10"/>
    <mergeCell ref="N3:O3"/>
    <mergeCell ref="B9:B10"/>
    <mergeCell ref="E9:E10"/>
    <mergeCell ref="F9:G9"/>
    <mergeCell ref="H9:H10"/>
  </mergeCells>
  <printOptions/>
  <pageMargins left="0.75" right="0.75" top="1" bottom="1" header="0.5" footer="0.5"/>
  <pageSetup horizontalDpi="600" verticalDpi="600" orientation="landscape" scale="61" r:id="rId1"/>
  <colBreaks count="1" manualBreakCount="1">
    <brk id="8" max="16" man="1"/>
  </col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M22"/>
  <sheetViews>
    <sheetView zoomScalePageLayoutView="0" workbookViewId="0" topLeftCell="A1">
      <selection activeCell="A1" sqref="A1:M21"/>
    </sheetView>
  </sheetViews>
  <sheetFormatPr defaultColWidth="9.140625" defaultRowHeight="12.75"/>
  <cols>
    <col min="1" max="1" width="18.00390625" style="0" bestFit="1" customWidth="1"/>
    <col min="2" max="2" width="18.00390625" style="0" customWidth="1"/>
    <col min="3" max="3" width="17.421875" style="0" customWidth="1"/>
    <col min="4" max="4" width="17.57421875" style="0" bestFit="1" customWidth="1"/>
    <col min="5" max="5" width="19.421875" style="0" customWidth="1"/>
    <col min="6" max="6" width="15.8515625" style="0" customWidth="1"/>
    <col min="7" max="7" width="25.7109375" style="0" customWidth="1"/>
    <col min="8" max="8" width="25.57421875" style="0" customWidth="1"/>
    <col min="9" max="10" width="15.421875" style="0" bestFit="1" customWidth="1"/>
    <col min="11" max="11" width="0.13671875" style="0" customWidth="1"/>
    <col min="12" max="13" width="9.140625" style="0" hidden="1" customWidth="1"/>
  </cols>
  <sheetData>
    <row r="1" spans="1:11" ht="15.75">
      <c r="A1" s="1" t="s">
        <v>1378</v>
      </c>
      <c r="B1" s="1"/>
      <c r="C1" s="57"/>
      <c r="D1" s="57"/>
      <c r="E1" s="32"/>
      <c r="F1" s="32"/>
      <c r="G1" s="32"/>
      <c r="H1" s="32"/>
      <c r="I1" s="735"/>
      <c r="J1" s="735"/>
      <c r="K1" s="22"/>
    </row>
    <row r="2" spans="1:11" ht="15.75">
      <c r="A2" s="1" t="s">
        <v>862</v>
      </c>
      <c r="B2" s="1"/>
      <c r="C2" s="57"/>
      <c r="D2" s="57"/>
      <c r="E2" s="32"/>
      <c r="F2" s="32"/>
      <c r="G2" s="32"/>
      <c r="H2" s="22"/>
      <c r="I2" s="22"/>
      <c r="J2" s="7"/>
      <c r="K2" s="15" t="s">
        <v>1379</v>
      </c>
    </row>
    <row r="3" spans="1:11" ht="15.75">
      <c r="A3" s="22"/>
      <c r="B3" s="22"/>
      <c r="C3" s="22"/>
      <c r="D3" s="22"/>
      <c r="E3" s="22"/>
      <c r="F3" s="22"/>
      <c r="G3" s="22"/>
      <c r="H3" s="22"/>
      <c r="I3" s="22"/>
      <c r="J3" s="22"/>
      <c r="K3" s="22"/>
    </row>
    <row r="4" spans="1:11" ht="15.75">
      <c r="A4" s="22"/>
      <c r="B4" s="22"/>
      <c r="C4" s="22"/>
      <c r="D4" s="22"/>
      <c r="E4" s="22"/>
      <c r="F4" s="22"/>
      <c r="G4" s="22"/>
      <c r="H4" s="22"/>
      <c r="I4" s="22"/>
      <c r="J4" s="22"/>
      <c r="K4" s="22"/>
    </row>
    <row r="5" spans="1:11" ht="15.75">
      <c r="A5" s="728" t="s">
        <v>1380</v>
      </c>
      <c r="B5" s="728"/>
      <c r="C5" s="728"/>
      <c r="D5" s="728"/>
      <c r="E5" s="728"/>
      <c r="F5" s="728"/>
      <c r="G5" s="728"/>
      <c r="H5" s="728"/>
      <c r="I5" s="728"/>
      <c r="J5" s="24"/>
      <c r="K5" s="22"/>
    </row>
    <row r="6" spans="1:11" ht="15.75">
      <c r="A6" s="13"/>
      <c r="B6" s="13"/>
      <c r="C6" s="13"/>
      <c r="D6" s="13"/>
      <c r="E6" s="13"/>
      <c r="F6" s="13"/>
      <c r="G6" s="13"/>
      <c r="H6" s="13"/>
      <c r="I6" s="13"/>
      <c r="J6" s="13"/>
      <c r="K6" s="22"/>
    </row>
    <row r="7" spans="1:11" ht="78.75">
      <c r="A7" s="214" t="s">
        <v>1381</v>
      </c>
      <c r="B7" s="214" t="s">
        <v>1382</v>
      </c>
      <c r="C7" s="19" t="s">
        <v>1383</v>
      </c>
      <c r="D7" s="19" t="s">
        <v>1384</v>
      </c>
      <c r="E7" s="19" t="s">
        <v>1385</v>
      </c>
      <c r="F7" s="19" t="s">
        <v>1386</v>
      </c>
      <c r="G7" s="19" t="s">
        <v>1387</v>
      </c>
      <c r="H7" s="19" t="s">
        <v>1386</v>
      </c>
      <c r="I7" s="214" t="s">
        <v>1388</v>
      </c>
      <c r="J7" s="19" t="s">
        <v>1389</v>
      </c>
      <c r="K7" s="500"/>
    </row>
    <row r="8" spans="1:11" ht="15.75">
      <c r="A8" s="214">
        <v>1</v>
      </c>
      <c r="B8" s="214">
        <v>2</v>
      </c>
      <c r="C8" s="19">
        <v>3</v>
      </c>
      <c r="D8" s="19">
        <v>4</v>
      </c>
      <c r="E8" s="214">
        <v>5</v>
      </c>
      <c r="F8" s="19">
        <v>6</v>
      </c>
      <c r="G8" s="19">
        <v>7</v>
      </c>
      <c r="H8" s="19">
        <v>8</v>
      </c>
      <c r="I8" s="214">
        <v>9</v>
      </c>
      <c r="J8" s="19">
        <v>10</v>
      </c>
      <c r="K8" s="500"/>
    </row>
    <row r="9" spans="1:11" ht="15.75">
      <c r="A9" s="501">
        <v>2016</v>
      </c>
      <c r="B9" s="501" t="s">
        <v>1472</v>
      </c>
      <c r="C9" s="504">
        <v>2017</v>
      </c>
      <c r="D9" s="19"/>
      <c r="E9" s="214"/>
      <c r="F9" s="19"/>
      <c r="G9" s="19"/>
      <c r="H9" s="19"/>
      <c r="I9" s="214"/>
      <c r="J9" s="19"/>
      <c r="K9" s="500"/>
    </row>
    <row r="10" spans="1:11" s="211" customFormat="1" ht="15.75">
      <c r="A10" s="501">
        <v>2015</v>
      </c>
      <c r="B10" s="505" t="s">
        <v>1396</v>
      </c>
      <c r="C10" s="504">
        <v>2016</v>
      </c>
      <c r="D10" s="504"/>
      <c r="E10" s="501"/>
      <c r="F10" s="504"/>
      <c r="G10" s="504"/>
      <c r="H10" s="504"/>
      <c r="I10" s="501"/>
      <c r="J10" s="504"/>
      <c r="K10" s="500"/>
    </row>
    <row r="11" spans="1:11" ht="15.75">
      <c r="A11" s="22"/>
      <c r="B11" s="22"/>
      <c r="C11" s="22"/>
      <c r="D11" s="22"/>
      <c r="E11" s="22"/>
      <c r="F11" s="22"/>
      <c r="G11" s="22"/>
      <c r="H11" s="22"/>
      <c r="I11" s="22"/>
      <c r="J11" s="22"/>
      <c r="K11" s="22"/>
    </row>
    <row r="12" spans="1:11" s="626" customFormat="1" ht="30.75" customHeight="1">
      <c r="A12" s="737" t="s">
        <v>1487</v>
      </c>
      <c r="B12" s="737"/>
      <c r="C12" s="737"/>
      <c r="D12" s="737"/>
      <c r="E12" s="737"/>
      <c r="F12" s="737"/>
      <c r="G12" s="737"/>
      <c r="H12" s="737"/>
      <c r="I12" s="737"/>
      <c r="J12" s="737"/>
      <c r="K12" s="625"/>
    </row>
    <row r="13" spans="1:13" ht="31.5" customHeight="1">
      <c r="A13" s="736" t="s">
        <v>1471</v>
      </c>
      <c r="B13" s="736"/>
      <c r="C13" s="736"/>
      <c r="D13" s="736"/>
      <c r="E13" s="736"/>
      <c r="F13" s="736"/>
      <c r="G13" s="736"/>
      <c r="H13" s="736"/>
      <c r="I13" s="736"/>
      <c r="J13" s="736"/>
      <c r="K13" s="736"/>
      <c r="L13" s="736"/>
      <c r="M13" s="736"/>
    </row>
    <row r="14" spans="1:11" ht="15.75">
      <c r="A14" s="22"/>
      <c r="B14" s="22"/>
      <c r="C14" s="22"/>
      <c r="D14" s="22"/>
      <c r="E14" s="22"/>
      <c r="F14" s="22"/>
      <c r="G14" s="22"/>
      <c r="H14" s="22"/>
      <c r="I14" s="22"/>
      <c r="J14" s="22"/>
      <c r="K14" s="22"/>
    </row>
    <row r="15" spans="1:11" ht="78.75">
      <c r="A15" s="19" t="s">
        <v>1390</v>
      </c>
      <c r="B15" s="19" t="s">
        <v>1391</v>
      </c>
      <c r="C15" s="19" t="s">
        <v>1392</v>
      </c>
      <c r="D15" s="19" t="s">
        <v>1393</v>
      </c>
      <c r="E15" s="19" t="s">
        <v>1392</v>
      </c>
      <c r="F15" s="19" t="s">
        <v>1394</v>
      </c>
      <c r="G15" s="500"/>
      <c r="H15" s="500"/>
      <c r="I15" s="500"/>
      <c r="J15" s="500"/>
      <c r="K15" s="500"/>
    </row>
    <row r="16" spans="1:11" ht="15.75">
      <c r="A16" s="214">
        <v>1</v>
      </c>
      <c r="B16" s="214">
        <v>2</v>
      </c>
      <c r="C16" s="214">
        <v>3</v>
      </c>
      <c r="D16" s="214">
        <v>4</v>
      </c>
      <c r="E16" s="214">
        <v>5</v>
      </c>
      <c r="F16" s="214">
        <v>6</v>
      </c>
      <c r="G16" s="502"/>
      <c r="H16" s="502"/>
      <c r="I16" s="502"/>
      <c r="J16" s="502"/>
      <c r="K16" s="502"/>
    </row>
    <row r="17" spans="1:11" ht="15.75">
      <c r="A17" s="26"/>
      <c r="B17" s="26"/>
      <c r="C17" s="26"/>
      <c r="D17" s="26"/>
      <c r="E17" s="26"/>
      <c r="F17" s="26"/>
      <c r="G17" s="22"/>
      <c r="H17" s="22"/>
      <c r="I17" s="22"/>
      <c r="J17" s="22"/>
      <c r="K17" s="22"/>
    </row>
    <row r="18" spans="1:11" ht="15.75">
      <c r="A18" s="22"/>
      <c r="B18" s="22"/>
      <c r="C18" s="22"/>
      <c r="D18" s="22"/>
      <c r="E18" s="22"/>
      <c r="F18" s="22"/>
      <c r="G18" s="22"/>
      <c r="H18" s="22"/>
      <c r="I18" s="22"/>
      <c r="J18" s="22"/>
      <c r="K18" s="22"/>
    </row>
    <row r="19" spans="1:11" ht="15.75">
      <c r="A19" s="503" t="s">
        <v>1498</v>
      </c>
      <c r="B19" s="503"/>
      <c r="C19" s="58"/>
      <c r="D19" s="58"/>
      <c r="E19" s="42" t="s">
        <v>64</v>
      </c>
      <c r="F19" s="22"/>
      <c r="G19" s="42"/>
      <c r="H19" s="42" t="s">
        <v>1395</v>
      </c>
      <c r="I19" s="22"/>
      <c r="J19" s="22"/>
      <c r="K19" s="22"/>
    </row>
    <row r="20" spans="1:11" ht="15.75">
      <c r="A20" s="22"/>
      <c r="B20" s="22"/>
      <c r="C20" s="22"/>
      <c r="D20" s="22"/>
      <c r="E20" s="22"/>
      <c r="F20" s="22"/>
      <c r="G20" s="22"/>
      <c r="H20" s="22"/>
      <c r="I20" s="22"/>
      <c r="J20" s="22"/>
      <c r="K20" s="22"/>
    </row>
    <row r="21" spans="1:11" ht="15.75">
      <c r="A21" s="22"/>
      <c r="B21" s="22"/>
      <c r="C21" s="22"/>
      <c r="D21" s="22"/>
      <c r="E21" s="22"/>
      <c r="F21" s="22"/>
      <c r="G21" s="22"/>
      <c r="H21" s="715" t="s">
        <v>1341</v>
      </c>
      <c r="I21" s="715"/>
      <c r="J21" s="22"/>
      <c r="K21" s="22"/>
    </row>
    <row r="22" spans="1:11" ht="15.75">
      <c r="A22" s="22"/>
      <c r="B22" s="22"/>
      <c r="C22" s="22"/>
      <c r="D22" s="22"/>
      <c r="E22" s="22"/>
      <c r="F22" s="22"/>
      <c r="G22" s="22"/>
      <c r="H22" s="22"/>
      <c r="I22" s="22"/>
      <c r="J22" s="22"/>
      <c r="K22" s="22"/>
    </row>
  </sheetData>
  <sheetProtection/>
  <mergeCells count="5">
    <mergeCell ref="I1:J1"/>
    <mergeCell ref="A5:I5"/>
    <mergeCell ref="H21:I21"/>
    <mergeCell ref="A13:M13"/>
    <mergeCell ref="A12:J12"/>
  </mergeCells>
  <printOptions/>
  <pageMargins left="0.7" right="0.7" top="0.75" bottom="0.75" header="0.3" footer="0.3"/>
  <pageSetup fitToHeight="0"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Ivana</cp:lastModifiedBy>
  <cp:lastPrinted>2017-07-21T09:56:27Z</cp:lastPrinted>
  <dcterms:created xsi:type="dcterms:W3CDTF">2013-03-12T08:27:17Z</dcterms:created>
  <dcterms:modified xsi:type="dcterms:W3CDTF">2017-07-21T10:55:10Z</dcterms:modified>
  <cp:category/>
  <cp:version/>
  <cp:contentType/>
  <cp:contentStatus/>
</cp:coreProperties>
</file>